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Feder\OneDrive\A - One Drive Plastind's\Configuratore Tende\"/>
    </mc:Choice>
  </mc:AlternateContent>
  <bookViews>
    <workbookView xWindow="0" yWindow="0" windowWidth="15360" windowHeight="11610" firstSheet="1" activeTab="1"/>
  </bookViews>
  <sheets>
    <sheet name="15-25 mm Standard" sheetId="6" state="hidden" r:id="rId1"/>
    <sheet name="15-25 mm Slider" sheetId="11" r:id="rId2"/>
    <sheet name="15-25 mm Magic" sheetId="12" state="hidden" r:id="rId3"/>
    <sheet name="15-25 mm Catena" sheetId="7" state="hidden" r:id="rId4"/>
    <sheet name="15-25 mm Motorizzate" sheetId="14" state="hidden" r:id="rId5"/>
    <sheet name="15 mm -MINI" sheetId="8" state="hidden" r:id="rId6"/>
    <sheet name="15-25 mm Serie 19x27" sheetId="13" state="hidden" r:id="rId7"/>
    <sheet name="Dati" sheetId="3" state="hidden" r:id="rId8"/>
  </sheets>
  <definedNames>
    <definedName name="Alberino">Dati!$A$37:$A$38</definedName>
    <definedName name="_xlnm.Print_Area" localSheetId="2">'15-25 mm Magic'!$A$1:$H$55</definedName>
    <definedName name="_xlnm.Print_Area" localSheetId="6">'15-25 mm Serie 19x27'!$A$1:$H$55</definedName>
    <definedName name="_xlnm.Print_Area" localSheetId="1">'15-25 mm Slider'!$A$1:$H$55</definedName>
    <definedName name="_xlnm.Print_Area" localSheetId="0">'15-25 mm Standard'!$A$1:$H$55</definedName>
    <definedName name="Asta">Dati!$A$58:$A$60</definedName>
    <definedName name="Barretta">Dati!$A$127:$A$128</definedName>
    <definedName name="Carter">Dati!$A$125:$A$126</definedName>
    <definedName name="Cassonetto">Dati!$A$26:$A$27</definedName>
    <definedName name="Cassonettoverticali">Dati!$A$114:$A$116</definedName>
    <definedName name="Catena">Dati!$A$73:$A$77</definedName>
    <definedName name="Catenadistanziatrice">Dati!$A$123:$A$124</definedName>
    <definedName name="Catenaorientamento">Dati!$A$121:$A$122</definedName>
    <definedName name="Comando">Dati!$A$66:$A$68</definedName>
    <definedName name="Comandoverticali">Dati!$A$118:$A$120</definedName>
    <definedName name="Fermacorda">Dati!$A$8:$A$9</definedName>
    <definedName name="Fermanastro">Dati!$A$10:$A$11</definedName>
    <definedName name="Fermanastro35">Dati!$A$19:$A$20</definedName>
    <definedName name="FermaTerilene">Dati!$A$46:$A$47</definedName>
    <definedName name="Lamella">Dati!$A$1:$A$2</definedName>
    <definedName name="Lamella15">Dati!$A$79:$A$80</definedName>
    <definedName name="Lamella25">Dati!$A$22:$A$25</definedName>
    <definedName name="Morsettino">Dati!$A$62:$A$64</definedName>
    <definedName name="Motore">Dati!$A$143:$A$145</definedName>
    <definedName name="MotoreVen">Dati!$A$66:$A$71</definedName>
    <definedName name="Nylon">Dati!$A$15:$A$17</definedName>
    <definedName name="Occhiello">Dati!$A$55:$A$56</definedName>
    <definedName name="Orientatore">Dati!$A$6:$A$7</definedName>
    <definedName name="Rocchetto19x27">Dati!$A$34:$A$35</definedName>
    <definedName name="Scaletta">Dati!$A$3:$A$5</definedName>
    <definedName name="Supporto">Dati!$A$12:$A$14</definedName>
    <definedName name="Supporto_Soffitto">Dati!$A$28:$A$30</definedName>
    <definedName name="Supporto25">Dati!$A$28:$A$30</definedName>
    <definedName name="SupportoSoffitto19x27">Dati!$A$31:$A$32</definedName>
    <definedName name="TappoCassonetto">Dati!$A$52:$A$53</definedName>
    <definedName name="TappoSpiaggiale">Dati!$A$49:$A$50</definedName>
    <definedName name="Telecomando">Dati!$A$146:$A$148</definedName>
    <definedName name="Tessuti">Dati!$A$91:$A$101</definedName>
    <definedName name="Tessutiverticali">Dati!$A$134:$A$140</definedName>
    <definedName name="Vagonetto">Dati!$A$131:$A$132</definedName>
    <definedName name="Zavorra">Dati!$A$129:$A$130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4" l="1"/>
  <c r="D28" i="14"/>
  <c r="E28" i="14" s="1"/>
  <c r="H28" i="14" s="1"/>
  <c r="E48" i="8"/>
  <c r="H48" i="8" s="1"/>
  <c r="E46" i="14"/>
  <c r="H46" i="14" s="1"/>
  <c r="E47" i="7"/>
  <c r="H47" i="7" s="1"/>
  <c r="D30" i="7"/>
  <c r="B30" i="7"/>
  <c r="D48" i="14"/>
  <c r="E48" i="14" s="1"/>
  <c r="H48" i="14" s="1"/>
  <c r="B48" i="14"/>
  <c r="D47" i="14"/>
  <c r="E47" i="14" s="1"/>
  <c r="H47" i="14" s="1"/>
  <c r="B47" i="14"/>
  <c r="G45" i="14"/>
  <c r="E45" i="14"/>
  <c r="H45" i="14" s="1"/>
  <c r="D34" i="14"/>
  <c r="E34" i="14" s="1"/>
  <c r="H34" i="14" s="1"/>
  <c r="B34" i="14"/>
  <c r="G33" i="14"/>
  <c r="D33" i="14"/>
  <c r="E33" i="14" s="1"/>
  <c r="H33" i="14" s="1"/>
  <c r="B33" i="14"/>
  <c r="H32" i="14"/>
  <c r="E32" i="14"/>
  <c r="D31" i="14"/>
  <c r="E31" i="14" s="1"/>
  <c r="H31" i="14" s="1"/>
  <c r="B31" i="14"/>
  <c r="G30" i="14"/>
  <c r="D30" i="14"/>
  <c r="E30" i="14" s="1"/>
  <c r="B30" i="14"/>
  <c r="G29" i="14"/>
  <c r="G26" i="14" s="1"/>
  <c r="E29" i="14"/>
  <c r="H29" i="14" s="1"/>
  <c r="E27" i="14"/>
  <c r="D26" i="14"/>
  <c r="E26" i="14" s="1"/>
  <c r="C26" i="14"/>
  <c r="B26" i="14"/>
  <c r="G25" i="14"/>
  <c r="E25" i="14"/>
  <c r="H25" i="14" s="1"/>
  <c r="G24" i="14"/>
  <c r="E24" i="14"/>
  <c r="H24" i="14" s="1"/>
  <c r="G23" i="14"/>
  <c r="D23" i="14"/>
  <c r="E23" i="14" s="1"/>
  <c r="H23" i="14" s="1"/>
  <c r="B23" i="14"/>
  <c r="H20" i="14"/>
  <c r="C26" i="7"/>
  <c r="E49" i="12"/>
  <c r="H49" i="12" s="1"/>
  <c r="E48" i="11"/>
  <c r="H48" i="11" s="1"/>
  <c r="D26" i="13"/>
  <c r="B26" i="13"/>
  <c r="D28" i="13"/>
  <c r="B32" i="13"/>
  <c r="D32" i="13"/>
  <c r="C27" i="13"/>
  <c r="H49" i="14" l="1"/>
  <c r="H52" i="14" s="1"/>
  <c r="H30" i="14"/>
  <c r="H26" i="14"/>
  <c r="H40" i="14"/>
  <c r="G27" i="14"/>
  <c r="H27" i="14" s="1"/>
  <c r="D52" i="13"/>
  <c r="E52" i="13" s="1"/>
  <c r="H52" i="13" s="1"/>
  <c r="B52" i="13"/>
  <c r="D51" i="13"/>
  <c r="E51" i="13" s="1"/>
  <c r="H51" i="13" s="1"/>
  <c r="B51" i="13"/>
  <c r="E50" i="13"/>
  <c r="H50" i="13" s="1"/>
  <c r="G49" i="13"/>
  <c r="E49" i="13"/>
  <c r="G39" i="13"/>
  <c r="H39" i="13" s="1"/>
  <c r="C39" i="13"/>
  <c r="B39" i="13"/>
  <c r="E38" i="13"/>
  <c r="H38" i="13" s="1"/>
  <c r="E37" i="13"/>
  <c r="H37" i="13" s="1"/>
  <c r="G36" i="13"/>
  <c r="D36" i="13"/>
  <c r="E36" i="13" s="1"/>
  <c r="H36" i="13" s="1"/>
  <c r="B36" i="13"/>
  <c r="G35" i="13"/>
  <c r="E35" i="13"/>
  <c r="H35" i="13" s="1"/>
  <c r="E34" i="13"/>
  <c r="H34" i="13" s="1"/>
  <c r="D33" i="13"/>
  <c r="E33" i="13" s="1"/>
  <c r="H33" i="13" s="1"/>
  <c r="B33" i="13"/>
  <c r="G32" i="13"/>
  <c r="E32" i="13"/>
  <c r="H32" i="13" s="1"/>
  <c r="H31" i="13"/>
  <c r="E31" i="13"/>
  <c r="H30" i="13"/>
  <c r="E30" i="13"/>
  <c r="D29" i="13"/>
  <c r="E29" i="13" s="1"/>
  <c r="H29" i="13" s="1"/>
  <c r="B29" i="13"/>
  <c r="G28" i="13"/>
  <c r="E28" i="13"/>
  <c r="H28" i="13" s="1"/>
  <c r="B28" i="13"/>
  <c r="E27" i="13"/>
  <c r="H27" i="13" s="1"/>
  <c r="G26" i="13"/>
  <c r="E26" i="13"/>
  <c r="H26" i="13" s="1"/>
  <c r="G25" i="13"/>
  <c r="G22" i="13" s="1"/>
  <c r="E25" i="13"/>
  <c r="H25" i="13" s="1"/>
  <c r="H24" i="13"/>
  <c r="E24" i="13"/>
  <c r="E23" i="13"/>
  <c r="D22" i="13"/>
  <c r="E22" i="13" s="1"/>
  <c r="C22" i="13"/>
  <c r="B22" i="13"/>
  <c r="G21" i="13"/>
  <c r="E21" i="13"/>
  <c r="H21" i="13" s="1"/>
  <c r="G20" i="13"/>
  <c r="E20" i="13"/>
  <c r="H20" i="13" s="1"/>
  <c r="G19" i="13"/>
  <c r="D19" i="13"/>
  <c r="E19" i="13" s="1"/>
  <c r="H19" i="13" s="1"/>
  <c r="B19" i="13"/>
  <c r="H16" i="13"/>
  <c r="H45" i="13" s="1"/>
  <c r="H35" i="14" l="1"/>
  <c r="H36" i="14" s="1"/>
  <c r="H39" i="14" s="1"/>
  <c r="H49" i="13"/>
  <c r="H53" i="13"/>
  <c r="H55" i="13" s="1"/>
  <c r="H23" i="13"/>
  <c r="H22" i="13"/>
  <c r="H40" i="13" s="1"/>
  <c r="G23" i="13"/>
  <c r="E50" i="6"/>
  <c r="H50" i="6" s="1"/>
  <c r="B21" i="6"/>
  <c r="D21" i="6"/>
  <c r="D19" i="6"/>
  <c r="H41" i="14" l="1"/>
  <c r="H46" i="13"/>
  <c r="H41" i="13"/>
  <c r="H44" i="13" s="1"/>
  <c r="D33" i="8"/>
  <c r="B33" i="8"/>
  <c r="B36" i="8"/>
  <c r="C36" i="8"/>
  <c r="G27" i="8"/>
  <c r="G28" i="8"/>
  <c r="G26" i="8" s="1"/>
  <c r="G32" i="8"/>
  <c r="D28" i="8"/>
  <c r="B28" i="8"/>
  <c r="D29" i="8"/>
  <c r="B29" i="8"/>
  <c r="D26" i="7"/>
  <c r="B26" i="7"/>
  <c r="D26" i="8"/>
  <c r="C26" i="8"/>
  <c r="B26" i="8"/>
  <c r="G29" i="7"/>
  <c r="G27" i="7" s="1"/>
  <c r="G30" i="7"/>
  <c r="G31" i="7"/>
  <c r="D35" i="7"/>
  <c r="B35" i="7"/>
  <c r="D32" i="7"/>
  <c r="B32" i="7"/>
  <c r="D31" i="7"/>
  <c r="B31" i="7"/>
  <c r="D31" i="12"/>
  <c r="B31" i="12"/>
  <c r="D29" i="12"/>
  <c r="B29" i="12"/>
  <c r="D28" i="12"/>
  <c r="B28" i="12"/>
  <c r="G26" i="12"/>
  <c r="G24" i="12" s="1"/>
  <c r="G27" i="12"/>
  <c r="G28" i="12"/>
  <c r="D30" i="12"/>
  <c r="B30" i="12"/>
  <c r="G37" i="12"/>
  <c r="G33" i="12"/>
  <c r="C37" i="12"/>
  <c r="B37" i="12"/>
  <c r="D23" i="12"/>
  <c r="C23" i="12"/>
  <c r="B23" i="12"/>
  <c r="G35" i="6"/>
  <c r="G34" i="11"/>
  <c r="D50" i="8"/>
  <c r="B50" i="8"/>
  <c r="D49" i="7"/>
  <c r="B49" i="7"/>
  <c r="D51" i="12"/>
  <c r="B51" i="12"/>
  <c r="D50" i="11"/>
  <c r="B50" i="11"/>
  <c r="C36" i="11"/>
  <c r="B36" i="11"/>
  <c r="D32" i="11"/>
  <c r="B32" i="11"/>
  <c r="B29" i="11"/>
  <c r="D30" i="11"/>
  <c r="B30" i="11"/>
  <c r="D29" i="11"/>
  <c r="B31" i="11"/>
  <c r="D31" i="11"/>
  <c r="C24" i="11"/>
  <c r="B24" i="11"/>
  <c r="D24" i="11"/>
  <c r="G26" i="7" l="1"/>
  <c r="G23" i="12"/>
  <c r="B52" i="6"/>
  <c r="D52" i="6"/>
  <c r="B33" i="6"/>
  <c r="D33" i="6"/>
  <c r="D29" i="6"/>
  <c r="B29" i="6"/>
  <c r="B28" i="6"/>
  <c r="D28" i="6"/>
  <c r="G39" i="6"/>
  <c r="G28" i="6"/>
  <c r="G26" i="6"/>
  <c r="G25" i="6"/>
  <c r="G22" i="6" s="1"/>
  <c r="G27" i="11"/>
  <c r="G24" i="11" s="1"/>
  <c r="B27" i="6"/>
  <c r="D27" i="6"/>
  <c r="C27" i="6"/>
  <c r="C39" i="6"/>
  <c r="B39" i="6"/>
  <c r="D22" i="6"/>
  <c r="C22" i="6"/>
  <c r="B22" i="6"/>
  <c r="D32" i="6" l="1"/>
  <c r="B32" i="6"/>
  <c r="D36" i="6" l="1"/>
  <c r="E36" i="6" s="1"/>
  <c r="G36" i="6"/>
  <c r="G19" i="6"/>
  <c r="E19" i="6"/>
  <c r="G20" i="6"/>
  <c r="D20" i="6"/>
  <c r="E20" i="6" s="1"/>
  <c r="G21" i="6"/>
  <c r="E21" i="6"/>
  <c r="G23" i="6"/>
  <c r="E23" i="6"/>
  <c r="E25" i="6"/>
  <c r="E26" i="6"/>
  <c r="E28" i="6"/>
  <c r="G32" i="6"/>
  <c r="E32" i="6"/>
  <c r="E35" i="6"/>
  <c r="H39" i="6"/>
  <c r="E22" i="6"/>
  <c r="E24" i="6"/>
  <c r="H24" i="6" s="1"/>
  <c r="E27" i="6"/>
  <c r="H27" i="6" s="1"/>
  <c r="E29" i="6"/>
  <c r="H29" i="6" s="1"/>
  <c r="E30" i="6"/>
  <c r="H30" i="6" s="1"/>
  <c r="E31" i="6"/>
  <c r="H31" i="6" s="1"/>
  <c r="E33" i="6"/>
  <c r="H33" i="6" s="1"/>
  <c r="E34" i="6"/>
  <c r="H34" i="6" s="1"/>
  <c r="E37" i="6"/>
  <c r="H37" i="6" s="1"/>
  <c r="E38" i="6"/>
  <c r="H38" i="6" s="1"/>
  <c r="H16" i="6"/>
  <c r="G24" i="8"/>
  <c r="G23" i="7"/>
  <c r="G20" i="12"/>
  <c r="D24" i="8"/>
  <c r="E24" i="8" s="1"/>
  <c r="B24" i="8"/>
  <c r="D21" i="11"/>
  <c r="E21" i="11" s="1"/>
  <c r="E31" i="11"/>
  <c r="D20" i="12"/>
  <c r="E20" i="12" s="1"/>
  <c r="H20" i="12" s="1"/>
  <c r="E30" i="12"/>
  <c r="B20" i="12"/>
  <c r="B19" i="6"/>
  <c r="B20" i="6"/>
  <c r="H21" i="8"/>
  <c r="E48" i="12"/>
  <c r="G48" i="12"/>
  <c r="H48" i="12"/>
  <c r="G46" i="7"/>
  <c r="H17" i="12"/>
  <c r="H43" i="12" s="1"/>
  <c r="E36" i="12"/>
  <c r="H36" i="12" s="1"/>
  <c r="E35" i="12"/>
  <c r="H35" i="12" s="1"/>
  <c r="E51" i="12"/>
  <c r="H51" i="12" s="1"/>
  <c r="D50" i="12"/>
  <c r="E50" i="12" s="1"/>
  <c r="H50" i="12" s="1"/>
  <c r="B50" i="12"/>
  <c r="H37" i="12"/>
  <c r="E37" i="12"/>
  <c r="G34" i="12"/>
  <c r="E34" i="12"/>
  <c r="H34" i="12" s="1"/>
  <c r="E33" i="12"/>
  <c r="H33" i="12" s="1"/>
  <c r="E32" i="12"/>
  <c r="H32" i="12" s="1"/>
  <c r="E31" i="12"/>
  <c r="H31" i="12" s="1"/>
  <c r="G30" i="12"/>
  <c r="E29" i="12"/>
  <c r="H29" i="12" s="1"/>
  <c r="E28" i="12"/>
  <c r="H28" i="12" s="1"/>
  <c r="E27" i="12"/>
  <c r="H27" i="12"/>
  <c r="E26" i="12"/>
  <c r="E25" i="12"/>
  <c r="H25" i="12" s="1"/>
  <c r="E24" i="12"/>
  <c r="H24" i="12" s="1"/>
  <c r="E23" i="12"/>
  <c r="H23" i="12" s="1"/>
  <c r="G22" i="12"/>
  <c r="E22" i="12"/>
  <c r="H22" i="12" s="1"/>
  <c r="G21" i="12"/>
  <c r="H21" i="12" s="1"/>
  <c r="E21" i="12"/>
  <c r="G35" i="11"/>
  <c r="E50" i="11"/>
  <c r="H50" i="11" s="1"/>
  <c r="D49" i="11"/>
  <c r="E49" i="11" s="1"/>
  <c r="H49" i="11" s="1"/>
  <c r="E47" i="11"/>
  <c r="H47" i="11" s="1"/>
  <c r="G47" i="11"/>
  <c r="B49" i="11"/>
  <c r="G36" i="11"/>
  <c r="E36" i="11"/>
  <c r="E35" i="11"/>
  <c r="E34" i="11"/>
  <c r="H34" i="11" s="1"/>
  <c r="E33" i="11"/>
  <c r="H33" i="11" s="1"/>
  <c r="E32" i="11"/>
  <c r="H32" i="11" s="1"/>
  <c r="G31" i="11"/>
  <c r="E30" i="11"/>
  <c r="H30" i="11" s="1"/>
  <c r="G29" i="11"/>
  <c r="E29" i="11"/>
  <c r="G28" i="11"/>
  <c r="E28" i="11"/>
  <c r="G25" i="11"/>
  <c r="H25" i="11" s="1"/>
  <c r="E27" i="11"/>
  <c r="E26" i="11"/>
  <c r="H26" i="11" s="1"/>
  <c r="E25" i="11"/>
  <c r="E24" i="11"/>
  <c r="H24" i="11" s="1"/>
  <c r="G23" i="11"/>
  <c r="H23" i="11" s="1"/>
  <c r="E23" i="11"/>
  <c r="G22" i="11"/>
  <c r="E22" i="11"/>
  <c r="G21" i="11"/>
  <c r="B21" i="11"/>
  <c r="H18" i="11"/>
  <c r="H26" i="12"/>
  <c r="G34" i="7"/>
  <c r="G36" i="8"/>
  <c r="G33" i="8"/>
  <c r="G49" i="6"/>
  <c r="E28" i="7"/>
  <c r="H28" i="7" s="1"/>
  <c r="D23" i="7"/>
  <c r="E23" i="7" s="1"/>
  <c r="H23" i="7" s="1"/>
  <c r="B23" i="7"/>
  <c r="G25" i="8"/>
  <c r="E25" i="8"/>
  <c r="H25" i="8" s="1"/>
  <c r="D49" i="8"/>
  <c r="E49" i="8" s="1"/>
  <c r="H49" i="8" s="1"/>
  <c r="B49" i="8"/>
  <c r="H20" i="7"/>
  <c r="H41" i="7"/>
  <c r="D48" i="7"/>
  <c r="E48" i="7" s="1"/>
  <c r="H48" i="7" s="1"/>
  <c r="B48" i="7"/>
  <c r="D34" i="7"/>
  <c r="E34" i="7" s="1"/>
  <c r="H34" i="7" s="1"/>
  <c r="B34" i="7"/>
  <c r="D51" i="6"/>
  <c r="E51" i="6" s="1"/>
  <c r="H51" i="6" s="1"/>
  <c r="B51" i="6"/>
  <c r="B36" i="6"/>
  <c r="E50" i="8"/>
  <c r="H50" i="8" s="1"/>
  <c r="E47" i="8"/>
  <c r="G47" i="8"/>
  <c r="E36" i="8"/>
  <c r="E35" i="8"/>
  <c r="H35" i="8" s="1"/>
  <c r="E34" i="8"/>
  <c r="H34" i="8" s="1"/>
  <c r="E33" i="8"/>
  <c r="E32" i="8"/>
  <c r="E31" i="8"/>
  <c r="H31" i="8" s="1"/>
  <c r="E30" i="8"/>
  <c r="H30" i="8" s="1"/>
  <c r="E29" i="8"/>
  <c r="H29" i="8" s="1"/>
  <c r="E28" i="8"/>
  <c r="H27" i="8"/>
  <c r="E27" i="8"/>
  <c r="E26" i="8"/>
  <c r="E30" i="7"/>
  <c r="H30" i="7" s="1"/>
  <c r="E49" i="7"/>
  <c r="H49" i="7" s="1"/>
  <c r="E46" i="7"/>
  <c r="H46" i="7" s="1"/>
  <c r="E35" i="7"/>
  <c r="H35" i="7" s="1"/>
  <c r="E33" i="7"/>
  <c r="H33" i="7" s="1"/>
  <c r="E32" i="7"/>
  <c r="H32" i="7" s="1"/>
  <c r="E31" i="7"/>
  <c r="H31" i="7" s="1"/>
  <c r="E29" i="7"/>
  <c r="H29" i="7" s="1"/>
  <c r="E27" i="7"/>
  <c r="E26" i="7"/>
  <c r="H26" i="7" s="1"/>
  <c r="G25" i="7"/>
  <c r="E25" i="7"/>
  <c r="H25" i="7" s="1"/>
  <c r="G24" i="7"/>
  <c r="E24" i="7"/>
  <c r="H24" i="7" s="1"/>
  <c r="E52" i="6"/>
  <c r="H52" i="6" s="1"/>
  <c r="E49" i="6"/>
  <c r="H30" i="12" l="1"/>
  <c r="H28" i="11"/>
  <c r="H22" i="11"/>
  <c r="H35" i="11"/>
  <c r="H26" i="8"/>
  <c r="H31" i="11"/>
  <c r="H36" i="11"/>
  <c r="H47" i="8"/>
  <c r="H51" i="8" s="1"/>
  <c r="H54" i="8" s="1"/>
  <c r="H49" i="6"/>
  <c r="H29" i="11"/>
  <c r="H36" i="6"/>
  <c r="H22" i="6"/>
  <c r="H35" i="6"/>
  <c r="H28" i="6"/>
  <c r="H25" i="6"/>
  <c r="H21" i="6"/>
  <c r="H45" i="6"/>
  <c r="H32" i="6"/>
  <c r="H26" i="6"/>
  <c r="H20" i="6"/>
  <c r="H50" i="7"/>
  <c r="H53" i="7" s="1"/>
  <c r="H27" i="7"/>
  <c r="H36" i="7" s="1"/>
  <c r="H42" i="7" s="1"/>
  <c r="H52" i="12"/>
  <c r="H55" i="12" s="1"/>
  <c r="H23" i="6"/>
  <c r="H19" i="6"/>
  <c r="H33" i="8"/>
  <c r="H24" i="8"/>
  <c r="H28" i="8"/>
  <c r="H32" i="8"/>
  <c r="H36" i="8"/>
  <c r="H51" i="11"/>
  <c r="H54" i="11" s="1"/>
  <c r="H42" i="8"/>
  <c r="H42" i="11"/>
  <c r="H27" i="11"/>
  <c r="H38" i="12"/>
  <c r="H44" i="12" s="1"/>
  <c r="H21" i="11"/>
  <c r="H53" i="6" l="1"/>
  <c r="H55" i="6" s="1"/>
  <c r="H37" i="11"/>
  <c r="H38" i="11" s="1"/>
  <c r="H41" i="11" s="1"/>
  <c r="H40" i="6"/>
  <c r="H46" i="6" s="1"/>
  <c r="H39" i="12"/>
  <c r="H42" i="12" s="1"/>
  <c r="H37" i="7"/>
  <c r="H40" i="7" s="1"/>
  <c r="H37" i="8"/>
  <c r="H38" i="8" s="1"/>
  <c r="H41" i="8" s="1"/>
  <c r="H43" i="11" l="1"/>
  <c r="H41" i="6"/>
  <c r="H44" i="6" s="1"/>
  <c r="H43" i="8"/>
</calcChain>
</file>

<file path=xl/sharedStrings.xml><?xml version="1.0" encoding="utf-8"?>
<sst xmlns="http://schemas.openxmlformats.org/spreadsheetml/2006/main" count="773" uniqueCount="298">
  <si>
    <t>mt</t>
  </si>
  <si>
    <t>Terilene</t>
  </si>
  <si>
    <t>Corda</t>
  </si>
  <si>
    <t>Orientatore</t>
  </si>
  <si>
    <t>pz</t>
  </si>
  <si>
    <t>Supporto</t>
  </si>
  <si>
    <t>Rocchetto</t>
  </si>
  <si>
    <t>Prezzo al mq</t>
  </si>
  <si>
    <t>Larghezza</t>
  </si>
  <si>
    <t>Altezza</t>
  </si>
  <si>
    <t>Margine</t>
  </si>
  <si>
    <t>Articolo</t>
  </si>
  <si>
    <t>Totale senza guide</t>
  </si>
  <si>
    <t>Sconto %</t>
  </si>
  <si>
    <t>Totale guide</t>
  </si>
  <si>
    <t>0050/P</t>
  </si>
  <si>
    <t>Descrizione</t>
  </si>
  <si>
    <t>Euro</t>
  </si>
  <si>
    <t>U.M.</t>
  </si>
  <si>
    <t>Importo €</t>
  </si>
  <si>
    <t>Prezzo di Vendita Mq</t>
  </si>
  <si>
    <t>Lamella perforata</t>
  </si>
  <si>
    <t>Lamella</t>
  </si>
  <si>
    <t>722/P</t>
  </si>
  <si>
    <t>Supporto centrale</t>
  </si>
  <si>
    <t>Guide</t>
  </si>
  <si>
    <t>Mq Totali (LxH)</t>
  </si>
  <si>
    <t>Prezzi Scontati</t>
  </si>
  <si>
    <t>Prezzo di Vendita Pz</t>
  </si>
  <si>
    <t>Numero</t>
  </si>
  <si>
    <t>Ferro 5x5</t>
  </si>
  <si>
    <t>Fibbia</t>
  </si>
  <si>
    <t>716/2</t>
  </si>
  <si>
    <t>903/ML</t>
  </si>
  <si>
    <t>Ferro mezzaluna</t>
  </si>
  <si>
    <t>901/ML</t>
  </si>
  <si>
    <t>922/L</t>
  </si>
  <si>
    <t>Pomello antistrozz</t>
  </si>
  <si>
    <t>Pomello</t>
  </si>
  <si>
    <t>Lamella 25 mm</t>
  </si>
  <si>
    <t>Lamella 25 mm Perf</t>
  </si>
  <si>
    <t>Lamella 15 mm</t>
  </si>
  <si>
    <t>Lamella 15 mm Perf</t>
  </si>
  <si>
    <t>920/O</t>
  </si>
  <si>
    <t>Fermaterilene V</t>
  </si>
  <si>
    <t>Asta piena</t>
  </si>
  <si>
    <t>Gancio</t>
  </si>
  <si>
    <t>Tappo</t>
  </si>
  <si>
    <t>0908/909</t>
  </si>
  <si>
    <t>Asta Vuota</t>
  </si>
  <si>
    <t>Asta Leggera</t>
  </si>
  <si>
    <t>940/A</t>
  </si>
  <si>
    <t>940/V</t>
  </si>
  <si>
    <t>914/TL</t>
  </si>
  <si>
    <t>914/A</t>
  </si>
  <si>
    <t>911/O</t>
  </si>
  <si>
    <t>803/Z</t>
  </si>
  <si>
    <t>Fermacatena</t>
  </si>
  <si>
    <t>CU25</t>
  </si>
  <si>
    <t>TR25</t>
  </si>
  <si>
    <t>Supporto e cono</t>
  </si>
  <si>
    <t>0040/6</t>
  </si>
  <si>
    <t>Scaletta Pvc</t>
  </si>
  <si>
    <t>Orientatore Ottone</t>
  </si>
  <si>
    <t>Fermacorda Ferro</t>
  </si>
  <si>
    <t>Fermanastro Verniciato</t>
  </si>
  <si>
    <t>Fermanastro Zincato</t>
  </si>
  <si>
    <t>Fermacorda Plastica</t>
  </si>
  <si>
    <t>719/P</t>
  </si>
  <si>
    <t>720-50</t>
  </si>
  <si>
    <t>701/S</t>
  </si>
  <si>
    <t>701/S/FE</t>
  </si>
  <si>
    <t>706/S</t>
  </si>
  <si>
    <t>706/S/FE</t>
  </si>
  <si>
    <t>710/Z</t>
  </si>
  <si>
    <t>710/V</t>
  </si>
  <si>
    <t>Nylon 2,5 mm</t>
  </si>
  <si>
    <t>Nylon 2,8 mm</t>
  </si>
  <si>
    <t>Nylon 3,0 mm</t>
  </si>
  <si>
    <t>In azzurro: il costo a metro quadro della tenda</t>
  </si>
  <si>
    <t>In verde: inserire il prezzo di vendita e calcolare il margine</t>
  </si>
  <si>
    <t>In rosso: scegliere le varianti dal menu a tendina: es lamella o lamella perforata</t>
  </si>
  <si>
    <t>810/V</t>
  </si>
  <si>
    <t>810/Z</t>
  </si>
  <si>
    <t>908/909</t>
  </si>
  <si>
    <t>0025/P</t>
  </si>
  <si>
    <t>0015/P</t>
  </si>
  <si>
    <t>Supporto Soffitto</t>
  </si>
  <si>
    <t>Supporto Soffitto/Parete</t>
  </si>
  <si>
    <t>Morsettino e Squadretta</t>
  </si>
  <si>
    <t>Mors. E Squadr. BASSA</t>
  </si>
  <si>
    <t>Mors. E Squadr. TRASP</t>
  </si>
  <si>
    <t>Gruppo Comando</t>
  </si>
  <si>
    <t>Fondale Tondo</t>
  </si>
  <si>
    <t>Pvc per tessuto</t>
  </si>
  <si>
    <t>Tessuto Screen</t>
  </si>
  <si>
    <t>Tubo Avvolgitore 32 mm</t>
  </si>
  <si>
    <t>Tubo Avvolgitore 45 mm</t>
  </si>
  <si>
    <t>Frizione, Supporti e Calotta per 32 mm</t>
  </si>
  <si>
    <t>Frizione, Supporti e Calotta per 45 mm</t>
  </si>
  <si>
    <t>Tessuto Tago</t>
  </si>
  <si>
    <t>Tessuto Tago Fr</t>
  </si>
  <si>
    <t>Tessuto Tago Blackout</t>
  </si>
  <si>
    <t>Tessuto Screen Melange</t>
  </si>
  <si>
    <t>Tessuto VedononVedo</t>
  </si>
  <si>
    <t>Tessuto Sangri La</t>
  </si>
  <si>
    <t>Tessuto Lite</t>
  </si>
  <si>
    <t>208/32</t>
  </si>
  <si>
    <t>208/45</t>
  </si>
  <si>
    <t>201/32</t>
  </si>
  <si>
    <t>201/45</t>
  </si>
  <si>
    <t>Tubo Avvolgitore 38 mm</t>
  </si>
  <si>
    <t>208/38</t>
  </si>
  <si>
    <t>Frizione, Supporti e Calotta per 38 mm</t>
  </si>
  <si>
    <t>201/38</t>
  </si>
  <si>
    <t xml:space="preserve">fino a </t>
  </si>
  <si>
    <t>num</t>
  </si>
  <si>
    <t>lamelle 25 mm</t>
  </si>
  <si>
    <t>oltre 2,6</t>
  </si>
  <si>
    <t>lamelle da 15 mm</t>
  </si>
  <si>
    <t>oltre 2,2</t>
  </si>
  <si>
    <t>Tessuto Patagonia</t>
  </si>
  <si>
    <t>Tessuto Miami</t>
  </si>
  <si>
    <t>Kit Slider</t>
  </si>
  <si>
    <t>Asta Alluminio</t>
  </si>
  <si>
    <t>Kit Magic</t>
  </si>
  <si>
    <t>Asta Plastica</t>
  </si>
  <si>
    <t>Tappo Asta</t>
  </si>
  <si>
    <t>Tassello</t>
  </si>
  <si>
    <t>Nastro Poliestere</t>
  </si>
  <si>
    <t>719/D</t>
  </si>
  <si>
    <t xml:space="preserve">Cassonetto h33 </t>
  </si>
  <si>
    <t>Gruppo Comando h25 Stondato</t>
  </si>
  <si>
    <t>Gruppo Comando h33</t>
  </si>
  <si>
    <t>Cassonetto h25 Squadrato</t>
  </si>
  <si>
    <t>Cassonetto h25 Stondato</t>
  </si>
  <si>
    <t>Gruppo Comando h25 Squadrato</t>
  </si>
  <si>
    <t>Catena di orientamento passo 6</t>
  </si>
  <si>
    <t>Catena di orientamento passo 12</t>
  </si>
  <si>
    <t>Vagonetto</t>
  </si>
  <si>
    <t>Carter 127 mm</t>
  </si>
  <si>
    <t>Carter 89 mm</t>
  </si>
  <si>
    <t>Catenella distanziatrice 127 mm</t>
  </si>
  <si>
    <t>Catenella distanziatrice 89 mm</t>
  </si>
  <si>
    <t>Barretta di sostengo 127 mm</t>
  </si>
  <si>
    <t>Barretta di sostegno 89 mm</t>
  </si>
  <si>
    <t>Zavorra 127 mm</t>
  </si>
  <si>
    <t>Zavorra 89 mm</t>
  </si>
  <si>
    <t>Barra</t>
  </si>
  <si>
    <t>0015/25</t>
  </si>
  <si>
    <t>0015/25/C</t>
  </si>
  <si>
    <t>0040/12</t>
  </si>
  <si>
    <t>0045/127</t>
  </si>
  <si>
    <t>0045/89</t>
  </si>
  <si>
    <t>0020/127</t>
  </si>
  <si>
    <t>0020/89</t>
  </si>
  <si>
    <t>0025/127</t>
  </si>
  <si>
    <t>0025/89</t>
  </si>
  <si>
    <t>0030/127</t>
  </si>
  <si>
    <t>0030/89</t>
  </si>
  <si>
    <t>Vagonetto assemblato</t>
  </si>
  <si>
    <t>001/25</t>
  </si>
  <si>
    <t>209/S</t>
  </si>
  <si>
    <t>211/S</t>
  </si>
  <si>
    <t>210/6</t>
  </si>
  <si>
    <t>Cover 32 mm</t>
  </si>
  <si>
    <t>Cover 38 mm</t>
  </si>
  <si>
    <t>Cover 45 mm</t>
  </si>
  <si>
    <t>224/32</t>
  </si>
  <si>
    <t>224/38</t>
  </si>
  <si>
    <t>224/45</t>
  </si>
  <si>
    <t>Fondale Tondo e Triangolare Zebra</t>
  </si>
  <si>
    <t>Tappi Fondale 209/S</t>
  </si>
  <si>
    <t>210/15</t>
  </si>
  <si>
    <t>211/ZB</t>
  </si>
  <si>
    <t>209/O e V</t>
  </si>
  <si>
    <t>Set per Fondale Zebra</t>
  </si>
  <si>
    <t>Pvc 40 mm per Fondale Sangri La</t>
  </si>
  <si>
    <t>Tappi per Fondale Sangri La</t>
  </si>
  <si>
    <t>Fondale per Sangri La</t>
  </si>
  <si>
    <t>209/C</t>
  </si>
  <si>
    <t>211/C</t>
  </si>
  <si>
    <t>210/40</t>
  </si>
  <si>
    <t>Tessuto VedononVedo Fiammato</t>
  </si>
  <si>
    <t>Cassonetto e Tappi</t>
  </si>
  <si>
    <t>208/C e 224/C</t>
  </si>
  <si>
    <t>Prezzo al pezzo</t>
  </si>
  <si>
    <t>Minimo</t>
  </si>
  <si>
    <t>Margine 2</t>
  </si>
  <si>
    <t>In grigio: il prezzo a pezzo in caso la tenda sia inferiore al minimo di fatturazione</t>
  </si>
  <si>
    <t>Scatola laterale a Cerniera</t>
  </si>
  <si>
    <t>Scatola laterale a Cerniera Verniciata</t>
  </si>
  <si>
    <t>700/CZ</t>
  </si>
  <si>
    <t>700/CV</t>
  </si>
  <si>
    <t>940-SLI</t>
  </si>
  <si>
    <t>KSLI-PSLI</t>
  </si>
  <si>
    <t>MGC</t>
  </si>
  <si>
    <t>940-MGC</t>
  </si>
  <si>
    <t>0051/25</t>
  </si>
  <si>
    <t>Telecomando 1 canale</t>
  </si>
  <si>
    <t>Telecomando 5 canali</t>
  </si>
  <si>
    <t>Telecomando 15 canali</t>
  </si>
  <si>
    <t>0051/PAC</t>
  </si>
  <si>
    <t>Motore elettronico</t>
  </si>
  <si>
    <t>Motore elettronico a batteria</t>
  </si>
  <si>
    <t>Motore elettronico a batteria e pannello</t>
  </si>
  <si>
    <t>IT1</t>
  </si>
  <si>
    <t>IT5</t>
  </si>
  <si>
    <t>IT15</t>
  </si>
  <si>
    <t>E25-1</t>
  </si>
  <si>
    <t>E25-1B</t>
  </si>
  <si>
    <t>E25-1BPS</t>
  </si>
  <si>
    <t>Verticali</t>
  </si>
  <si>
    <t>908/909/L</t>
  </si>
  <si>
    <t>Cassonetto e balza 25x25</t>
  </si>
  <si>
    <t>Cassonetto e balza 19x27/25x10 Legno</t>
  </si>
  <si>
    <t>fino a cm</t>
  </si>
  <si>
    <t>0001/25/C</t>
  </si>
  <si>
    <t>Shantung</t>
  </si>
  <si>
    <t>Shantung Ignifugo</t>
  </si>
  <si>
    <t>Tela</t>
  </si>
  <si>
    <t>Fibra di Vetro</t>
  </si>
  <si>
    <t>0135I</t>
  </si>
  <si>
    <t>Screen</t>
  </si>
  <si>
    <t>Pvc Rigido</t>
  </si>
  <si>
    <t>Pvc Morbido</t>
  </si>
  <si>
    <t>In giallo: i quattro parametri da inserire: Min fatturazione, Sconto, Larghezza (mt), Altezza (mt).</t>
  </si>
  <si>
    <t>Supporto Interno</t>
  </si>
  <si>
    <t>922/I</t>
  </si>
  <si>
    <t>Terilene 15 mm</t>
  </si>
  <si>
    <t>Terilene 25 mm</t>
  </si>
  <si>
    <t>Salvaterilene 15 mm</t>
  </si>
  <si>
    <t>Salvaterilene 25 mm</t>
  </si>
  <si>
    <t>915/S</t>
  </si>
  <si>
    <t>920/V</t>
  </si>
  <si>
    <t>FermaTerilene</t>
  </si>
  <si>
    <t>FermaTerilene Colorato</t>
  </si>
  <si>
    <t>910/C</t>
  </si>
  <si>
    <t>Clip Fermaterilene V</t>
  </si>
  <si>
    <t>Tappo Spiaggiale</t>
  </si>
  <si>
    <t>Tappo Spiaggiale Colorato</t>
  </si>
  <si>
    <t>Tappo Cassonetto Colorato</t>
  </si>
  <si>
    <t>Occhiello per Tappo</t>
  </si>
  <si>
    <t>Occhiello per Tappo Colorato</t>
  </si>
  <si>
    <t>911/C</t>
  </si>
  <si>
    <t>924/C</t>
  </si>
  <si>
    <t>911/OC</t>
  </si>
  <si>
    <t>Tappo Cassonetto</t>
  </si>
  <si>
    <t>Nylon 1.0 mm</t>
  </si>
  <si>
    <t>Cassonetto MINI Assemblato</t>
  </si>
  <si>
    <t>Alberino a Mezzaluna</t>
  </si>
  <si>
    <t>903/Z</t>
  </si>
  <si>
    <t>Molle</t>
  </si>
  <si>
    <t>Costo Tenda alla Veneziana da 15 - 25 mm</t>
  </si>
  <si>
    <t>908/909/19</t>
  </si>
  <si>
    <t>Cassonetto e balza 19x27</t>
  </si>
  <si>
    <t>901/19</t>
  </si>
  <si>
    <t>Orientatore s. 19x27</t>
  </si>
  <si>
    <t>902/19</t>
  </si>
  <si>
    <t>Supporto s. 19x27</t>
  </si>
  <si>
    <t>906/19</t>
  </si>
  <si>
    <t>Supporto Soffitto 19x27</t>
  </si>
  <si>
    <t>Supporto Soffitto/Parete 19x27</t>
  </si>
  <si>
    <t>922/19</t>
  </si>
  <si>
    <t>922/19/L</t>
  </si>
  <si>
    <t>Rocchetto 19x27</t>
  </si>
  <si>
    <t>Rocchetto con vite 19x27</t>
  </si>
  <si>
    <t>905/19</t>
  </si>
  <si>
    <t>905/19/V</t>
  </si>
  <si>
    <t>Ferro 4x4 mm</t>
  </si>
  <si>
    <t>Costo Tenda Veneziana da 15 - 25 mm,  SLIDER</t>
  </si>
  <si>
    <t>Costo Tenda Veneziana da 15 - 25 mm,  MAGIC</t>
  </si>
  <si>
    <t>C6/10</t>
  </si>
  <si>
    <t>C6/16</t>
  </si>
  <si>
    <t>C6/26</t>
  </si>
  <si>
    <t>C6/30</t>
  </si>
  <si>
    <t>C6/40</t>
  </si>
  <si>
    <t>Catena h 50 cm</t>
  </si>
  <si>
    <t>Catena h 80 cm</t>
  </si>
  <si>
    <t>Catena h 130 cm</t>
  </si>
  <si>
    <t>Catena h 150 cm</t>
  </si>
  <si>
    <t>Catena h 200 cm</t>
  </si>
  <si>
    <t>Costo Tenda Veneziana da 15 - 25 mm, CATENA</t>
  </si>
  <si>
    <t>Costo Tenda Veneziana da 15 - 25 mm - MOTORE</t>
  </si>
  <si>
    <t>M2406E+630+T141</t>
  </si>
  <si>
    <t>M2408E+630+T141</t>
  </si>
  <si>
    <t>M2406E+M24B+635+IT1</t>
  </si>
  <si>
    <t>M2408E+M24B+635+IT!</t>
  </si>
  <si>
    <t>M2406E+M24B+640+IT1</t>
  </si>
  <si>
    <t>M2408E+M24B+640+IT1</t>
  </si>
  <si>
    <t>Motore Laterale, Adatt, Telecomando</t>
  </si>
  <si>
    <t>Motore Centrale, Adatt, Telecomando</t>
  </si>
  <si>
    <t>Motore Laterale, B. Litio, Carica Batt, Telecomando</t>
  </si>
  <si>
    <t>Motore Centrale, B.Litio, Carica Batt, Telecomando</t>
  </si>
  <si>
    <t>Motore Laterale, B. Litio, P.Solare, Telecomando</t>
  </si>
  <si>
    <t>Motore Centrale, B. Litio, P.Solare, Telecomando</t>
  </si>
  <si>
    <t>M908/A</t>
  </si>
  <si>
    <t>Costo Tenda alla Veneziana da 15 mm, 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</si>
</sst>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000"/>
    <numFmt numFmtId="166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2" borderId="1" xfId="0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9" fontId="2" fillId="0" borderId="1" xfId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5" borderId="1" xfId="0" applyFill="1" applyBorder="1"/>
    <xf numFmtId="0" fontId="4" fillId="6" borderId="1" xfId="0" applyFont="1" applyFill="1" applyBorder="1"/>
    <xf numFmtId="0" fontId="0" fillId="7" borderId="1" xfId="0" applyFill="1" applyBorder="1"/>
    <xf numFmtId="2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6" fillId="9" borderId="1" xfId="0" applyNumberFormat="1" applyFont="1" applyFill="1" applyBorder="1" applyAlignment="1">
      <alignment horizontal="center" vertical="center"/>
    </xf>
    <xf numFmtId="9" fontId="2" fillId="9" borderId="1" xfId="1" applyFont="1" applyFill="1" applyBorder="1" applyAlignment="1">
      <alignment horizontal="center"/>
    </xf>
    <xf numFmtId="0" fontId="4" fillId="9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Protection="1"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10" borderId="1" xfId="0" applyFill="1" applyBorder="1"/>
    <xf numFmtId="0" fontId="0" fillId="0" borderId="1" xfId="0" applyFill="1" applyBorder="1" applyProtection="1">
      <protection locked="0"/>
    </xf>
    <xf numFmtId="2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1" xfId="0" applyFill="1" applyBorder="1"/>
    <xf numFmtId="0" fontId="0" fillId="11" borderId="0" xfId="0" applyFill="1"/>
    <xf numFmtId="0" fontId="5" fillId="11" borderId="0" xfId="0" applyFont="1" applyFill="1" applyBorder="1" applyAlignment="1">
      <alignment horizontal="center"/>
    </xf>
    <xf numFmtId="0" fontId="0" fillId="11" borderId="1" xfId="0" applyFill="1" applyBorder="1"/>
    <xf numFmtId="0" fontId="0" fillId="11" borderId="0" xfId="0" applyFill="1" applyAlignment="1">
      <alignment vertical="center"/>
    </xf>
    <xf numFmtId="0" fontId="0" fillId="11" borderId="1" xfId="0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0" fontId="2" fillId="11" borderId="2" xfId="0" applyFont="1" applyFill="1" applyBorder="1"/>
    <xf numFmtId="0" fontId="2" fillId="11" borderId="2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164" fontId="0" fillId="11" borderId="1" xfId="0" applyNumberForma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2" fontId="0" fillId="11" borderId="5" xfId="0" applyNumberFormat="1" applyFill="1" applyBorder="1" applyAlignment="1">
      <alignment horizontal="center" vertical="center"/>
    </xf>
    <xf numFmtId="2" fontId="2" fillId="11" borderId="2" xfId="0" applyNumberFormat="1" applyFont="1" applyFill="1" applyBorder="1" applyAlignment="1">
      <alignment horizontal="center" vertical="center"/>
    </xf>
    <xf numFmtId="9" fontId="2" fillId="11" borderId="1" xfId="1" applyFont="1" applyFill="1" applyBorder="1" applyAlignment="1">
      <alignment horizontal="center"/>
    </xf>
    <xf numFmtId="2" fontId="2" fillId="11" borderId="2" xfId="0" applyNumberFormat="1" applyFont="1" applyFill="1" applyBorder="1" applyAlignment="1">
      <alignment horizontal="center" vertical="center"/>
    </xf>
    <xf numFmtId="165" fontId="0" fillId="0" borderId="0" xfId="0" quotePrefix="1" applyNumberFormat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0" fillId="11" borderId="1" xfId="0" applyFill="1" applyBorder="1" applyProtection="1">
      <protection locked="0"/>
    </xf>
    <xf numFmtId="0" fontId="4" fillId="11" borderId="0" xfId="0" applyFont="1" applyFill="1" applyBorder="1"/>
    <xf numFmtId="165" fontId="0" fillId="0" borderId="1" xfId="0" applyNumberFormat="1" applyFill="1" applyBorder="1" applyAlignment="1">
      <alignment horizontal="center" wrapText="1"/>
    </xf>
    <xf numFmtId="0" fontId="0" fillId="6" borderId="1" xfId="0" applyFill="1" applyBorder="1" applyAlignment="1" applyProtection="1">
      <alignment wrapText="1"/>
      <protection locked="0"/>
    </xf>
    <xf numFmtId="2" fontId="2" fillId="11" borderId="2" xfId="0" applyNumberFormat="1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3</xdr:col>
      <xdr:colOff>161925</xdr:colOff>
      <xdr:row>4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5"/>
          <a:ext cx="256222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0</xdr:row>
      <xdr:rowOff>95251</xdr:rowOff>
    </xdr:from>
    <xdr:to>
      <xdr:col>7</xdr:col>
      <xdr:colOff>663803</xdr:colOff>
      <xdr:row>4</xdr:row>
      <xdr:rowOff>171451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3AC2D9E-C3D5-42AB-B0B9-8C3AEE1F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95251"/>
          <a:ext cx="606653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161925</xdr:rowOff>
    </xdr:from>
    <xdr:to>
      <xdr:col>3</xdr:col>
      <xdr:colOff>238125</xdr:colOff>
      <xdr:row>5</xdr:row>
      <xdr:rowOff>85725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61925"/>
          <a:ext cx="2590800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180975</xdr:colOff>
      <xdr:row>0</xdr:row>
      <xdr:rowOff>142875</xdr:rowOff>
    </xdr:from>
    <xdr:to>
      <xdr:col>7</xdr:col>
      <xdr:colOff>787628</xdr:colOff>
      <xdr:row>5</xdr:row>
      <xdr:rowOff>28575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18C430D-1DF6-4331-BEF6-4E75CBE79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42875"/>
          <a:ext cx="606653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161925</xdr:rowOff>
    </xdr:from>
    <xdr:to>
      <xdr:col>3</xdr:col>
      <xdr:colOff>219075</xdr:colOff>
      <xdr:row>5</xdr:row>
      <xdr:rowOff>85725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61925"/>
          <a:ext cx="2590800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0</xdr:row>
      <xdr:rowOff>133350</xdr:rowOff>
    </xdr:from>
    <xdr:to>
      <xdr:col>7</xdr:col>
      <xdr:colOff>711428</xdr:colOff>
      <xdr:row>5</xdr:row>
      <xdr:rowOff>19050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F285DF9-4C7C-43A1-95B0-D5F4A2E3F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133350"/>
          <a:ext cx="606653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0</xdr:rowOff>
    </xdr:from>
    <xdr:to>
      <xdr:col>3</xdr:col>
      <xdr:colOff>143933</xdr:colOff>
      <xdr:row>5</xdr:row>
      <xdr:rowOff>114300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00"/>
          <a:ext cx="2553758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0</xdr:row>
      <xdr:rowOff>161925</xdr:rowOff>
    </xdr:from>
    <xdr:to>
      <xdr:col>7</xdr:col>
      <xdr:colOff>682853</xdr:colOff>
      <xdr:row>5</xdr:row>
      <xdr:rowOff>47625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EA3263CE-93A5-450F-98CD-49140D3AD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161925"/>
          <a:ext cx="606653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161925</xdr:rowOff>
    </xdr:from>
    <xdr:to>
      <xdr:col>2</xdr:col>
      <xdr:colOff>1591733</xdr:colOff>
      <xdr:row>5</xdr:row>
      <xdr:rowOff>85725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454AEA26-B2BC-4E37-9362-223A758916A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61925"/>
          <a:ext cx="2553758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</xdr:colOff>
      <xdr:row>0</xdr:row>
      <xdr:rowOff>161925</xdr:rowOff>
    </xdr:from>
    <xdr:to>
      <xdr:col>7</xdr:col>
      <xdr:colOff>682853</xdr:colOff>
      <xdr:row>5</xdr:row>
      <xdr:rowOff>47625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C4C779E-9FB7-4333-A283-E68F204AE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161925"/>
          <a:ext cx="606653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161925</xdr:rowOff>
    </xdr:from>
    <xdr:to>
      <xdr:col>3</xdr:col>
      <xdr:colOff>161926</xdr:colOff>
      <xdr:row>5</xdr:row>
      <xdr:rowOff>85725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61925"/>
          <a:ext cx="2590800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</xdr:colOff>
      <xdr:row>0</xdr:row>
      <xdr:rowOff>180975</xdr:rowOff>
    </xdr:from>
    <xdr:to>
      <xdr:col>7</xdr:col>
      <xdr:colOff>692378</xdr:colOff>
      <xdr:row>5</xdr:row>
      <xdr:rowOff>66675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378B0525-ED77-43B6-8028-EE5FA5751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180975"/>
          <a:ext cx="606653" cy="838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2</xdr:col>
      <xdr:colOff>1781175</xdr:colOff>
      <xdr:row>4</xdr:row>
      <xdr:rowOff>180975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F158F56-4739-4528-9D1D-3904749915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5"/>
          <a:ext cx="2562225" cy="87630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0</xdr:row>
      <xdr:rowOff>95251</xdr:rowOff>
    </xdr:from>
    <xdr:to>
      <xdr:col>7</xdr:col>
      <xdr:colOff>663803</xdr:colOff>
      <xdr:row>4</xdr:row>
      <xdr:rowOff>171451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728D97E-C752-46F8-8BDA-528BB5F61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725" y="95251"/>
          <a:ext cx="606653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/>
  <dimension ref="A1:L55"/>
  <sheetViews>
    <sheetView workbookViewId="0">
      <selection activeCell="C19" sqref="C19"/>
    </sheetView>
  </sheetViews>
  <sheetFormatPr defaultColWidth="8.85546875" defaultRowHeight="15" x14ac:dyDescent="0.25"/>
  <cols>
    <col min="1" max="1" width="3" customWidth="1"/>
    <col min="3" max="3" width="26.5703125" customWidth="1"/>
    <col min="4" max="4" width="12" customWidth="1"/>
    <col min="5" max="5" width="13.85546875" customWidth="1"/>
    <col min="6" max="6" width="10.140625" customWidth="1"/>
    <col min="7" max="7" width="11.7109375" customWidth="1"/>
    <col min="8" max="8" width="14.7109375" customWidth="1"/>
    <col min="9" max="9" width="1.85546875" customWidth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2" spans="1:12" x14ac:dyDescent="0.25">
      <c r="A2" s="84"/>
      <c r="B2" s="84"/>
      <c r="C2" s="84"/>
      <c r="D2" s="84"/>
      <c r="E2" s="84"/>
      <c r="F2" s="84"/>
      <c r="G2" s="84"/>
      <c r="H2" s="84"/>
    </row>
    <row r="3" spans="1:12" x14ac:dyDescent="0.25">
      <c r="A3" s="84"/>
      <c r="B3" s="84"/>
      <c r="C3" s="84"/>
      <c r="D3" s="84"/>
      <c r="E3" s="84"/>
      <c r="F3" s="84"/>
      <c r="G3" s="84"/>
      <c r="H3" s="84"/>
    </row>
    <row r="4" spans="1:12" x14ac:dyDescent="0.25">
      <c r="A4" s="84"/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ht="15" customHeight="1" x14ac:dyDescent="0.35">
      <c r="A6" s="84"/>
      <c r="B6" s="107" t="s">
        <v>253</v>
      </c>
      <c r="C6" s="107"/>
      <c r="D6" s="107"/>
      <c r="E6" s="107"/>
      <c r="F6" s="107"/>
      <c r="G6" s="107"/>
      <c r="H6" s="107"/>
      <c r="I6" s="8"/>
    </row>
    <row r="7" spans="1:12" ht="15.75" customHeight="1" thickBot="1" x14ac:dyDescent="0.4">
      <c r="A7" s="84"/>
      <c r="B7" s="108"/>
      <c r="C7" s="108"/>
      <c r="D7" s="108"/>
      <c r="E7" s="108"/>
      <c r="F7" s="108"/>
      <c r="G7" s="108"/>
      <c r="H7" s="108"/>
      <c r="I7" s="8"/>
    </row>
    <row r="8" spans="1:12" ht="15.75" thickTop="1" x14ac:dyDescent="0.25">
      <c r="A8" s="84"/>
      <c r="B8" s="84"/>
      <c r="C8" s="84"/>
      <c r="D8" s="84"/>
      <c r="E8" s="84"/>
      <c r="F8" s="84"/>
      <c r="G8" s="84"/>
      <c r="H8" s="84"/>
    </row>
    <row r="9" spans="1:12" x14ac:dyDescent="0.25">
      <c r="A9" s="84"/>
      <c r="B9" s="12"/>
      <c r="C9" s="87" t="s">
        <v>226</v>
      </c>
      <c r="D9" s="84"/>
      <c r="E9" s="84"/>
      <c r="F9" s="84"/>
      <c r="G9" s="84"/>
      <c r="H9" s="84"/>
      <c r="J9" s="1"/>
    </row>
    <row r="10" spans="1:12" ht="15" customHeight="1" x14ac:dyDescent="0.35">
      <c r="A10" s="84"/>
      <c r="B10" s="30"/>
      <c r="C10" s="87" t="s">
        <v>81</v>
      </c>
      <c r="D10" s="84"/>
      <c r="E10" s="84"/>
      <c r="F10" s="84"/>
      <c r="G10" s="84"/>
      <c r="H10" s="84"/>
      <c r="J10" s="8"/>
      <c r="K10" s="8"/>
      <c r="L10" s="1"/>
    </row>
    <row r="11" spans="1:12" ht="15" customHeight="1" x14ac:dyDescent="0.35">
      <c r="A11" s="84"/>
      <c r="B11" s="31"/>
      <c r="C11" s="87" t="s">
        <v>80</v>
      </c>
      <c r="D11" s="84"/>
      <c r="E11" s="84"/>
      <c r="F11" s="84"/>
      <c r="G11" s="84"/>
      <c r="H11" s="84"/>
      <c r="J11" s="8"/>
      <c r="K11" s="8"/>
      <c r="L11" s="1"/>
    </row>
    <row r="12" spans="1:12" ht="15" customHeight="1" x14ac:dyDescent="0.35">
      <c r="A12" s="84"/>
      <c r="B12" s="29"/>
      <c r="C12" s="87" t="s">
        <v>79</v>
      </c>
      <c r="D12" s="84"/>
      <c r="E12" s="84"/>
      <c r="F12" s="84"/>
      <c r="G12" s="84"/>
      <c r="H12" s="84"/>
      <c r="J12" s="8"/>
      <c r="K12" s="8"/>
      <c r="L12" s="1"/>
    </row>
    <row r="13" spans="1:12" ht="15" customHeight="1" x14ac:dyDescent="0.35">
      <c r="A13" s="84"/>
      <c r="B13" s="56"/>
      <c r="C13" s="87" t="s">
        <v>189</v>
      </c>
      <c r="D13" s="84"/>
      <c r="E13" s="84"/>
      <c r="F13" s="84"/>
      <c r="G13" s="84"/>
      <c r="H13" s="84"/>
      <c r="J13" s="8"/>
      <c r="K13" s="8"/>
      <c r="L13" s="1"/>
    </row>
    <row r="14" spans="1:12" x14ac:dyDescent="0.25">
      <c r="A14" s="84"/>
      <c r="C14" s="84"/>
      <c r="D14" s="84"/>
      <c r="E14" s="84"/>
      <c r="F14" s="84"/>
      <c r="G14" s="84"/>
      <c r="H14" s="84"/>
      <c r="I14" s="1"/>
    </row>
    <row r="15" spans="1:12" x14ac:dyDescent="0.25">
      <c r="A15" s="84"/>
      <c r="B15" s="2"/>
      <c r="C15" s="2"/>
      <c r="D15" s="33" t="s">
        <v>187</v>
      </c>
      <c r="E15" s="33" t="s">
        <v>13</v>
      </c>
      <c r="F15" s="33" t="s">
        <v>8</v>
      </c>
      <c r="G15" s="33" t="s">
        <v>9</v>
      </c>
      <c r="H15" s="52" t="s">
        <v>26</v>
      </c>
    </row>
    <row r="16" spans="1:12" x14ac:dyDescent="0.25">
      <c r="A16" s="84"/>
      <c r="B16" s="2"/>
      <c r="C16" s="2"/>
      <c r="D16" s="64">
        <v>1.3</v>
      </c>
      <c r="E16" s="65">
        <v>10</v>
      </c>
      <c r="F16" s="64">
        <v>2</v>
      </c>
      <c r="G16" s="64">
        <v>2.4</v>
      </c>
      <c r="H16" s="53">
        <f>G16*F16</f>
        <v>4.8</v>
      </c>
    </row>
    <row r="17" spans="1:8" x14ac:dyDescent="0.25">
      <c r="A17" s="84"/>
      <c r="B17" s="2"/>
      <c r="C17" s="2"/>
      <c r="D17" s="3"/>
      <c r="E17" s="18"/>
      <c r="F17" s="6"/>
      <c r="G17" s="6"/>
      <c r="H17" s="3"/>
    </row>
    <row r="18" spans="1:8" ht="15.75" thickBot="1" x14ac:dyDescent="0.3">
      <c r="A18" s="84"/>
      <c r="B18" s="20" t="s">
        <v>11</v>
      </c>
      <c r="C18" s="20" t="s">
        <v>16</v>
      </c>
      <c r="D18" s="21" t="s">
        <v>17</v>
      </c>
      <c r="E18" s="21" t="s">
        <v>27</v>
      </c>
      <c r="F18" s="22" t="s">
        <v>18</v>
      </c>
      <c r="G18" s="22" t="s">
        <v>29</v>
      </c>
      <c r="H18" s="21" t="s">
        <v>19</v>
      </c>
    </row>
    <row r="19" spans="1:8" ht="15.75" thickTop="1" x14ac:dyDescent="0.25">
      <c r="A19" s="84"/>
      <c r="B19" s="34">
        <f>IFERROR(VLOOKUP(C19,Dati!$A$22:$C$25,2,FALSE),"")</f>
        <v>25</v>
      </c>
      <c r="C19" s="68" t="s">
        <v>39</v>
      </c>
      <c r="D19" s="19">
        <f>IFERROR(VLOOKUP(C19,Dati!$A$22:$C$25,3,FALSE),"")</f>
        <v>8.7999999999999995E-2</v>
      </c>
      <c r="E19" s="19">
        <f t="shared" ref="E19" si="0">D19*(1-$E$16/100)</f>
        <v>7.9199999999999993E-2</v>
      </c>
      <c r="F19" s="11" t="s">
        <v>0</v>
      </c>
      <c r="G19" s="10">
        <f>(50+30*ISNUMBER(FIND(15,C19)))*F16*G16</f>
        <v>240</v>
      </c>
      <c r="H19" s="11">
        <f>E19*G19</f>
        <v>19.007999999999999</v>
      </c>
    </row>
    <row r="20" spans="1:8" x14ac:dyDescent="0.25">
      <c r="A20" s="84"/>
      <c r="B20" s="9" t="str">
        <f>IFERROR(VLOOKUP(C20,Dati!$A$26:$C$27,2,FALSE),"")</f>
        <v>908/909</v>
      </c>
      <c r="C20" s="80" t="s">
        <v>214</v>
      </c>
      <c r="D20" s="4">
        <f>IFERROR(VLOOKUP(C20,Dati!$A$26:$C$27,3,FALSE),"")</f>
        <v>1.7</v>
      </c>
      <c r="E20" s="5">
        <f t="shared" ref="E20:E38" si="1">D20*(1-$E$16/100)</f>
        <v>1.53</v>
      </c>
      <c r="F20" s="4" t="s">
        <v>0</v>
      </c>
      <c r="G20" s="3">
        <f>F16</f>
        <v>2</v>
      </c>
      <c r="H20" s="4">
        <f t="shared" ref="H20:H39" si="2">E20*G20</f>
        <v>3.06</v>
      </c>
    </row>
    <row r="21" spans="1:8" x14ac:dyDescent="0.25">
      <c r="A21" s="84"/>
      <c r="B21" s="9" t="str">
        <f>IFERROR(VLOOKUP(C21,Dati!$A$37:$C$38,2,FALSE),"")</f>
        <v>903/ML</v>
      </c>
      <c r="C21" s="83" t="s">
        <v>250</v>
      </c>
      <c r="D21" s="5">
        <f>IFERROR(VLOOKUP(C21,Dati!$A$37:$C$38,3,FALSE),"")</f>
        <v>0.4</v>
      </c>
      <c r="E21" s="5">
        <f t="shared" si="1"/>
        <v>0.36000000000000004</v>
      </c>
      <c r="F21" s="4" t="s">
        <v>0</v>
      </c>
      <c r="G21" s="3">
        <f>F16</f>
        <v>2</v>
      </c>
      <c r="H21" s="4">
        <f t="shared" si="2"/>
        <v>0.72000000000000008</v>
      </c>
    </row>
    <row r="22" spans="1:8" x14ac:dyDescent="0.25">
      <c r="A22" s="84"/>
      <c r="B22" s="73">
        <f>IF($C$19="Lamella 15 mm",Dati!$B$41,IF($C$19="Lamella 15 mm perf",Dati!$B$41,Dati!$B$40))</f>
        <v>920</v>
      </c>
      <c r="C22" s="74" t="str">
        <f>IF($C$19="Lamella 15 mm",Dati!$A$41,IF($C$19="Lamella 15 mm perf",Dati!$A$41,Dati!$A$40))</f>
        <v>Terilene 25 mm</v>
      </c>
      <c r="D22" s="75">
        <f>IF($C$19="Lamella 15 mm",Dati!$C$41,IF($C$19="Lamella 15 mm perf",Dati!$C$41,Dati!$C$40))</f>
        <v>7.0000000000000007E-2</v>
      </c>
      <c r="E22" s="75">
        <f t="shared" si="1"/>
        <v>6.3000000000000014E-2</v>
      </c>
      <c r="F22" s="18" t="s">
        <v>0</v>
      </c>
      <c r="G22" s="6">
        <f>G25*G16</f>
        <v>9.6</v>
      </c>
      <c r="H22" s="18">
        <f t="shared" si="2"/>
        <v>0.60480000000000012</v>
      </c>
    </row>
    <row r="23" spans="1:8" x14ac:dyDescent="0.25">
      <c r="A23" s="84"/>
      <c r="B23" s="9">
        <v>921</v>
      </c>
      <c r="C23" s="2" t="s">
        <v>2</v>
      </c>
      <c r="D23" s="5">
        <v>4.4999999999999998E-2</v>
      </c>
      <c r="E23" s="5">
        <f t="shared" si="1"/>
        <v>4.0500000000000001E-2</v>
      </c>
      <c r="F23" s="4" t="s">
        <v>0</v>
      </c>
      <c r="G23" s="3">
        <f>IF($F$16&lt;2.4,G16*G25+F16,(G16*G25*2)+F16*2)</f>
        <v>11.6</v>
      </c>
      <c r="H23" s="4">
        <f t="shared" si="2"/>
        <v>0.4698</v>
      </c>
    </row>
    <row r="24" spans="1:8" x14ac:dyDescent="0.25">
      <c r="A24" s="84"/>
      <c r="B24" s="9" t="s">
        <v>35</v>
      </c>
      <c r="C24" s="2" t="s">
        <v>3</v>
      </c>
      <c r="D24" s="5">
        <v>4.4999999999999998E-2</v>
      </c>
      <c r="E24" s="5">
        <f t="shared" si="1"/>
        <v>4.0500000000000001E-2</v>
      </c>
      <c r="F24" s="4" t="s">
        <v>4</v>
      </c>
      <c r="G24" s="3">
        <v>1</v>
      </c>
      <c r="H24" s="4">
        <f t="shared" si="2"/>
        <v>4.0500000000000001E-2</v>
      </c>
    </row>
    <row r="25" spans="1:8" x14ac:dyDescent="0.25">
      <c r="A25" s="84"/>
      <c r="B25" s="9">
        <v>902</v>
      </c>
      <c r="C25" s="2" t="s">
        <v>5</v>
      </c>
      <c r="D25" s="5">
        <v>0.11</v>
      </c>
      <c r="E25" s="5">
        <f t="shared" si="1"/>
        <v>9.9000000000000005E-2</v>
      </c>
      <c r="F25" s="4" t="s">
        <v>4</v>
      </c>
      <c r="G25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25" s="4">
        <f t="shared" si="2"/>
        <v>0.39600000000000002</v>
      </c>
    </row>
    <row r="26" spans="1:8" x14ac:dyDescent="0.25">
      <c r="A26" s="84"/>
      <c r="B26" s="9">
        <v>905</v>
      </c>
      <c r="C26" s="2" t="s">
        <v>6</v>
      </c>
      <c r="D26" s="5">
        <v>3.5000000000000003E-2</v>
      </c>
      <c r="E26" s="5">
        <f t="shared" si="1"/>
        <v>3.1500000000000007E-2</v>
      </c>
      <c r="F26" s="4" t="s">
        <v>4</v>
      </c>
      <c r="G26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26" s="4">
        <f t="shared" si="2"/>
        <v>0.12600000000000003</v>
      </c>
    </row>
    <row r="27" spans="1:8" x14ac:dyDescent="0.25">
      <c r="A27" s="84"/>
      <c r="B27" s="9">
        <f>IF($F$16&lt;2.4,906,"906/19")</f>
        <v>906</v>
      </c>
      <c r="C27" s="2" t="str">
        <f>IF($F$16&lt;2.4,"Fermacorda","Fermacorda 4 corde")</f>
        <v>Fermacorda</v>
      </c>
      <c r="D27" s="5">
        <f>IF($F$16&lt;2.4,0.58,0.65)</f>
        <v>0.57999999999999996</v>
      </c>
      <c r="E27" s="5">
        <f t="shared" si="1"/>
        <v>0.52200000000000002</v>
      </c>
      <c r="F27" s="4" t="s">
        <v>4</v>
      </c>
      <c r="G27" s="6">
        <v>1</v>
      </c>
      <c r="H27" s="4">
        <f t="shared" si="2"/>
        <v>0.52200000000000002</v>
      </c>
    </row>
    <row r="28" spans="1:8" x14ac:dyDescent="0.25">
      <c r="A28" s="84"/>
      <c r="B28" s="36">
        <f>IFERROR(VLOOKUP(C28,Dati!$A$46:$C$47,2,FALSE),"")</f>
        <v>910</v>
      </c>
      <c r="C28" s="79" t="s">
        <v>235</v>
      </c>
      <c r="D28" s="5">
        <f>IFERROR(VLOOKUP(C28,Dati!$A$46:$C$47,3,FALSE),"")</f>
        <v>0.03</v>
      </c>
      <c r="E28" s="5">
        <f t="shared" si="1"/>
        <v>2.7E-2</v>
      </c>
      <c r="F28" s="4" t="s">
        <v>4</v>
      </c>
      <c r="G28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28" s="4">
        <f t="shared" si="2"/>
        <v>0.108</v>
      </c>
    </row>
    <row r="29" spans="1:8" x14ac:dyDescent="0.25">
      <c r="A29" s="84"/>
      <c r="B29" s="9">
        <f>IFERROR(VLOOKUP(C29,Dati!$A$49:$C$50,2,FALSE),"")</f>
        <v>911</v>
      </c>
      <c r="C29" s="79" t="s">
        <v>239</v>
      </c>
      <c r="D29" s="5">
        <f>IFERROR(VLOOKUP(C29,Dati!$A$49:$C$50,3,FALSE),"")</f>
        <v>0.05</v>
      </c>
      <c r="E29" s="5">
        <f t="shared" si="1"/>
        <v>4.5000000000000005E-2</v>
      </c>
      <c r="F29" s="4" t="s">
        <v>4</v>
      </c>
      <c r="G29" s="6">
        <v>2</v>
      </c>
      <c r="H29" s="4">
        <f t="shared" si="2"/>
        <v>9.0000000000000011E-2</v>
      </c>
    </row>
    <row r="30" spans="1:8" x14ac:dyDescent="0.25">
      <c r="A30" s="84"/>
      <c r="B30" s="9" t="s">
        <v>233</v>
      </c>
      <c r="C30" s="2" t="s">
        <v>37</v>
      </c>
      <c r="D30" s="5">
        <v>0.4</v>
      </c>
      <c r="E30" s="5">
        <f t="shared" si="1"/>
        <v>0.36000000000000004</v>
      </c>
      <c r="F30" s="4" t="s">
        <v>4</v>
      </c>
      <c r="G30" s="6">
        <v>1</v>
      </c>
      <c r="H30" s="4">
        <f t="shared" si="2"/>
        <v>0.36000000000000004</v>
      </c>
    </row>
    <row r="31" spans="1:8" x14ac:dyDescent="0.25">
      <c r="A31" s="84"/>
      <c r="B31" s="9">
        <v>917</v>
      </c>
      <c r="C31" s="2" t="s">
        <v>38</v>
      </c>
      <c r="D31" s="5">
        <v>0.04</v>
      </c>
      <c r="E31" s="5">
        <f t="shared" si="1"/>
        <v>3.6000000000000004E-2</v>
      </c>
      <c r="F31" s="4" t="s">
        <v>4</v>
      </c>
      <c r="G31" s="6">
        <v>1</v>
      </c>
      <c r="H31" s="4">
        <f t="shared" si="2"/>
        <v>3.6000000000000004E-2</v>
      </c>
    </row>
    <row r="32" spans="1:8" x14ac:dyDescent="0.25">
      <c r="A32" s="84"/>
      <c r="B32" s="36">
        <f>IFERROR(VLOOKUP(C32,Dati!$A$28:$C$30,2,FALSE),"")</f>
        <v>922</v>
      </c>
      <c r="C32" s="66" t="s">
        <v>87</v>
      </c>
      <c r="D32" s="5">
        <f>IFERROR(VLOOKUP(C32,Dati!$A$28:$C$30,3,FALSE),"")</f>
        <v>0.21</v>
      </c>
      <c r="E32" s="5">
        <f t="shared" si="1"/>
        <v>0.189</v>
      </c>
      <c r="F32" s="4" t="s">
        <v>4</v>
      </c>
      <c r="G32" s="6">
        <f>IF(F16&lt;1.6,2,IF(F16&lt;=2.5,3,IF(F16&gt;2.501,4)))</f>
        <v>3</v>
      </c>
      <c r="H32" s="4">
        <f t="shared" si="2"/>
        <v>0.56699999999999995</v>
      </c>
    </row>
    <row r="33" spans="1:8" x14ac:dyDescent="0.25">
      <c r="A33" s="84"/>
      <c r="B33" s="9" t="str">
        <f>IFERROR(VLOOKUP(C33,Dati!$A$52:$C$53,2,FALSE),"")</f>
        <v>924/C</v>
      </c>
      <c r="C33" s="79" t="s">
        <v>241</v>
      </c>
      <c r="D33" s="5">
        <f>IFERROR(VLOOKUP(C33,Dati!$A$52:$C$53,3,FALSE),"")</f>
        <v>0.1</v>
      </c>
      <c r="E33" s="5">
        <f t="shared" si="1"/>
        <v>9.0000000000000011E-2</v>
      </c>
      <c r="F33" s="4" t="s">
        <v>4</v>
      </c>
      <c r="G33" s="37">
        <v>2</v>
      </c>
      <c r="H33" s="24">
        <f t="shared" si="2"/>
        <v>0.18000000000000002</v>
      </c>
    </row>
    <row r="34" spans="1:8" x14ac:dyDescent="0.25">
      <c r="A34" s="84"/>
      <c r="B34" s="9">
        <v>916</v>
      </c>
      <c r="C34" s="2" t="s">
        <v>31</v>
      </c>
      <c r="D34" s="5">
        <v>0.03</v>
      </c>
      <c r="E34" s="5">
        <f t="shared" si="1"/>
        <v>2.7E-2</v>
      </c>
      <c r="F34" s="24" t="s">
        <v>4</v>
      </c>
      <c r="G34" s="37">
        <v>1</v>
      </c>
      <c r="H34" s="24">
        <f t="shared" si="2"/>
        <v>2.7E-2</v>
      </c>
    </row>
    <row r="35" spans="1:8" x14ac:dyDescent="0.25">
      <c r="A35" s="84"/>
      <c r="B35" s="9" t="s">
        <v>234</v>
      </c>
      <c r="C35" s="2" t="s">
        <v>238</v>
      </c>
      <c r="D35" s="5">
        <v>0.02</v>
      </c>
      <c r="E35" s="5">
        <f t="shared" si="1"/>
        <v>1.8000000000000002E-2</v>
      </c>
      <c r="F35" s="24" t="s">
        <v>4</v>
      </c>
      <c r="G35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*2</f>
        <v>8</v>
      </c>
      <c r="H35" s="24">
        <f t="shared" si="2"/>
        <v>0.14400000000000002</v>
      </c>
    </row>
    <row r="36" spans="1:8" x14ac:dyDescent="0.25">
      <c r="A36" s="84"/>
      <c r="B36" s="36" t="str">
        <f>IFERROR(VLOOKUP(C36,Dati!$A$58:$C$60,2,FALSE),"")</f>
        <v>940/V</v>
      </c>
      <c r="C36" s="66" t="s">
        <v>49</v>
      </c>
      <c r="D36" s="5">
        <f>IFERROR(VLOOKUP(C36,Dati!$A$58:$C$60,3,FALSE),"")</f>
        <v>0.38</v>
      </c>
      <c r="E36" s="5">
        <f t="shared" si="1"/>
        <v>0.34200000000000003</v>
      </c>
      <c r="F36" s="24" t="s">
        <v>0</v>
      </c>
      <c r="G36" s="15">
        <f>G16</f>
        <v>2.4</v>
      </c>
      <c r="H36" s="24">
        <f t="shared" si="2"/>
        <v>0.82080000000000009</v>
      </c>
    </row>
    <row r="37" spans="1:8" x14ac:dyDescent="0.25">
      <c r="A37" s="84"/>
      <c r="B37" s="9">
        <v>941</v>
      </c>
      <c r="C37" s="2" t="s">
        <v>46</v>
      </c>
      <c r="D37" s="5">
        <v>0.05</v>
      </c>
      <c r="E37" s="5">
        <f t="shared" si="1"/>
        <v>4.5000000000000005E-2</v>
      </c>
      <c r="F37" s="24" t="s">
        <v>4</v>
      </c>
      <c r="G37" s="15">
        <v>1</v>
      </c>
      <c r="H37" s="24">
        <f t="shared" si="2"/>
        <v>4.5000000000000005E-2</v>
      </c>
    </row>
    <row r="38" spans="1:8" x14ac:dyDescent="0.25">
      <c r="A38" s="84"/>
      <c r="B38" s="9">
        <v>942</v>
      </c>
      <c r="C38" s="2" t="s">
        <v>47</v>
      </c>
      <c r="D38" s="5">
        <v>0.06</v>
      </c>
      <c r="E38" s="5">
        <f t="shared" si="1"/>
        <v>5.3999999999999999E-2</v>
      </c>
      <c r="F38" s="24" t="s">
        <v>4</v>
      </c>
      <c r="G38" s="15">
        <v>1</v>
      </c>
      <c r="H38" s="24">
        <f t="shared" si="2"/>
        <v>5.3999999999999999E-2</v>
      </c>
    </row>
    <row r="39" spans="1:8" x14ac:dyDescent="0.25">
      <c r="A39" s="84"/>
      <c r="B39" s="73">
        <f>IF($C$19="Lamella 15 mm",Dati!$B$43,IF($C$19="Lamella 15 mm perf",Dati!$B$43,Dati!$B$44))</f>
        <v>907</v>
      </c>
      <c r="C39" s="74" t="str">
        <f>IF($C$19="Lamella 15 mm",Dati!$A$43,IF($C$19="Lamella 15 mm perf",Dati!$A$43,Dati!$A$44))</f>
        <v>Salvaterilene 25 mm</v>
      </c>
      <c r="D39" s="5">
        <v>2.5000000000000001E-2</v>
      </c>
      <c r="E39" s="5">
        <v>2.5000000000000001E-2</v>
      </c>
      <c r="F39" s="24" t="s">
        <v>4</v>
      </c>
      <c r="G39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39" s="24">
        <f t="shared" si="2"/>
        <v>0.1</v>
      </c>
    </row>
    <row r="40" spans="1:8" ht="15.75" thickBot="1" x14ac:dyDescent="0.3">
      <c r="A40" s="84"/>
      <c r="B40" s="86"/>
      <c r="C40" s="86"/>
      <c r="D40" s="3"/>
      <c r="E40" s="5"/>
      <c r="F40" s="109" t="s">
        <v>12</v>
      </c>
      <c r="G40" s="110"/>
      <c r="H40" s="16">
        <f>SUM(H19:H39)</f>
        <v>27.478899999999999</v>
      </c>
    </row>
    <row r="41" spans="1:8" ht="15.75" thickTop="1" x14ac:dyDescent="0.25">
      <c r="A41" s="84"/>
      <c r="B41" s="86"/>
      <c r="C41" s="86"/>
      <c r="D41" s="3"/>
      <c r="E41" s="3"/>
      <c r="F41" s="111" t="s">
        <v>7</v>
      </c>
      <c r="G41" s="112"/>
      <c r="H41" s="7">
        <f>IF(H16&gt;=1,H40/H16,H40*H16)</f>
        <v>5.7247708333333334</v>
      </c>
    </row>
    <row r="42" spans="1:8" x14ac:dyDescent="0.25">
      <c r="A42" s="84"/>
      <c r="B42" s="84"/>
      <c r="C42" s="84"/>
      <c r="D42" s="84"/>
      <c r="E42" s="84"/>
      <c r="F42" s="84"/>
      <c r="G42" s="84"/>
      <c r="H42" s="84"/>
    </row>
    <row r="43" spans="1:8" x14ac:dyDescent="0.25">
      <c r="A43" s="84"/>
      <c r="B43" s="84"/>
      <c r="C43" s="84"/>
      <c r="D43" s="84"/>
      <c r="E43" s="84"/>
      <c r="F43" s="113" t="s">
        <v>20</v>
      </c>
      <c r="G43" s="113"/>
      <c r="H43" s="67">
        <v>24</v>
      </c>
    </row>
    <row r="44" spans="1:8" x14ac:dyDescent="0.25">
      <c r="A44" s="84"/>
      <c r="B44" s="84"/>
      <c r="C44" s="84"/>
      <c r="D44" s="84"/>
      <c r="E44" s="84"/>
      <c r="F44" s="113" t="s">
        <v>10</v>
      </c>
      <c r="G44" s="113"/>
      <c r="H44" s="17">
        <f>(H43-H41)/H43</f>
        <v>0.76146788194444437</v>
      </c>
    </row>
    <row r="45" spans="1:8" x14ac:dyDescent="0.25">
      <c r="A45" s="84"/>
      <c r="B45" s="84"/>
      <c r="C45" s="84"/>
      <c r="D45" s="84"/>
      <c r="E45" s="84"/>
      <c r="F45" s="115" t="s">
        <v>186</v>
      </c>
      <c r="G45" s="115"/>
      <c r="H45" s="54">
        <f>IF(H16&lt;D16,H43*D16,H43*H16)</f>
        <v>115.19999999999999</v>
      </c>
    </row>
    <row r="46" spans="1:8" x14ac:dyDescent="0.25">
      <c r="A46" s="84"/>
      <c r="B46" s="84"/>
      <c r="C46" s="84"/>
      <c r="D46" s="84"/>
      <c r="E46" s="84"/>
      <c r="F46" s="115" t="s">
        <v>188</v>
      </c>
      <c r="G46" s="115"/>
      <c r="H46" s="55">
        <f>(H45-H40)/H45</f>
        <v>0.76146788194444448</v>
      </c>
    </row>
    <row r="47" spans="1:8" ht="15.75" thickBot="1" x14ac:dyDescent="0.3">
      <c r="A47" s="84"/>
      <c r="B47" s="114" t="s">
        <v>25</v>
      </c>
      <c r="C47" s="114"/>
      <c r="D47" s="84"/>
      <c r="E47" s="84"/>
      <c r="F47" s="84"/>
      <c r="G47" s="84"/>
      <c r="H47" s="84"/>
    </row>
    <row r="48" spans="1:8" ht="15.75" thickBot="1" x14ac:dyDescent="0.3">
      <c r="A48" s="84"/>
      <c r="B48" s="90" t="s">
        <v>11</v>
      </c>
      <c r="C48" s="90" t="s">
        <v>16</v>
      </c>
      <c r="D48" s="91" t="s">
        <v>17</v>
      </c>
      <c r="E48" s="91" t="s">
        <v>27</v>
      </c>
      <c r="F48" s="91" t="s">
        <v>18</v>
      </c>
      <c r="G48" s="91" t="s">
        <v>29</v>
      </c>
      <c r="H48" s="91" t="s">
        <v>19</v>
      </c>
    </row>
    <row r="49" spans="1:8" ht="15.75" thickTop="1" x14ac:dyDescent="0.25">
      <c r="A49" s="84"/>
      <c r="B49" s="92">
        <v>918</v>
      </c>
      <c r="C49" s="86" t="s">
        <v>248</v>
      </c>
      <c r="D49" s="93">
        <v>0.11</v>
      </c>
      <c r="E49" s="93">
        <f t="shared" ref="E49:E52" si="3">D49*(1-$E$16/100)</f>
        <v>9.9000000000000005E-2</v>
      </c>
      <c r="F49" s="89" t="s">
        <v>0</v>
      </c>
      <c r="G49" s="88">
        <f>2*G16+0.2</f>
        <v>5</v>
      </c>
      <c r="H49" s="89">
        <f t="shared" ref="H49:H52" si="4">E49*G49</f>
        <v>0.495</v>
      </c>
    </row>
    <row r="50" spans="1:8" x14ac:dyDescent="0.25">
      <c r="A50" s="84"/>
      <c r="B50" s="92">
        <v>913</v>
      </c>
      <c r="C50" s="86" t="s">
        <v>252</v>
      </c>
      <c r="D50" s="93">
        <v>0.15</v>
      </c>
      <c r="E50" s="93">
        <f t="shared" si="3"/>
        <v>0.13500000000000001</v>
      </c>
      <c r="F50" s="89" t="s">
        <v>4</v>
      </c>
      <c r="G50" s="88">
        <v>2</v>
      </c>
      <c r="H50" s="89">
        <f t="shared" si="4"/>
        <v>0.27</v>
      </c>
    </row>
    <row r="51" spans="1:8" x14ac:dyDescent="0.25">
      <c r="A51" s="84"/>
      <c r="B51" s="36" t="str">
        <f>IFERROR(VLOOKUP(C51,Dati!$A$62:$C$64,2,FALSE),"")</f>
        <v>914/A</v>
      </c>
      <c r="C51" s="66" t="s">
        <v>91</v>
      </c>
      <c r="D51" s="93">
        <f>IFERROR(VLOOKUP(C51,Dati!$A$62:$C$64,3,FALSE),"")</f>
        <v>0.3</v>
      </c>
      <c r="E51" s="93">
        <f t="shared" si="3"/>
        <v>0.27</v>
      </c>
      <c r="F51" s="89" t="s">
        <v>4</v>
      </c>
      <c r="G51" s="88">
        <v>2</v>
      </c>
      <c r="H51" s="89">
        <f t="shared" si="4"/>
        <v>0.54</v>
      </c>
    </row>
    <row r="52" spans="1:8" x14ac:dyDescent="0.25">
      <c r="A52" s="84"/>
      <c r="B52" s="9" t="str">
        <f>IFERROR(VLOOKUP(C52,Dati!$A$55:$C$56,2,FALSE),"")</f>
        <v>911/O</v>
      </c>
      <c r="C52" s="79" t="s">
        <v>242</v>
      </c>
      <c r="D52" s="93">
        <f>IFERROR(VLOOKUP(C52,Dati!$A$55:$C$56,3,FALSE),"")</f>
        <v>0.06</v>
      </c>
      <c r="E52" s="93">
        <f t="shared" si="3"/>
        <v>5.3999999999999999E-2</v>
      </c>
      <c r="F52" s="95" t="s">
        <v>4</v>
      </c>
      <c r="G52" s="94">
        <v>2</v>
      </c>
      <c r="H52" s="89">
        <f t="shared" si="4"/>
        <v>0.108</v>
      </c>
    </row>
    <row r="53" spans="1:8" ht="15.75" thickBot="1" x14ac:dyDescent="0.3">
      <c r="A53" s="84"/>
      <c r="B53" s="86"/>
      <c r="C53" s="86"/>
      <c r="D53" s="88"/>
      <c r="E53" s="88"/>
      <c r="F53" s="105" t="s">
        <v>14</v>
      </c>
      <c r="G53" s="105"/>
      <c r="H53" s="96">
        <f>SUM(H49:H52)</f>
        <v>1.4130000000000003</v>
      </c>
    </row>
    <row r="54" spans="1:8" ht="15.75" thickTop="1" x14ac:dyDescent="0.25">
      <c r="A54" s="84"/>
      <c r="B54" s="84"/>
      <c r="C54" s="84"/>
      <c r="D54" s="84"/>
      <c r="E54" s="84"/>
      <c r="F54" s="106" t="s">
        <v>28</v>
      </c>
      <c r="G54" s="106"/>
      <c r="H54" s="67">
        <v>3</v>
      </c>
    </row>
    <row r="55" spans="1:8" x14ac:dyDescent="0.25">
      <c r="A55" s="84"/>
      <c r="B55" s="84"/>
      <c r="C55" s="84"/>
      <c r="D55" s="84"/>
      <c r="E55" s="84"/>
      <c r="F55" s="106" t="s">
        <v>10</v>
      </c>
      <c r="G55" s="106"/>
      <c r="H55" s="97">
        <f>(H54-H53)/H54</f>
        <v>0.52899999999999991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53:G53"/>
    <mergeCell ref="F54:G54"/>
    <mergeCell ref="F55:G55"/>
    <mergeCell ref="B6:H7"/>
    <mergeCell ref="F40:G40"/>
    <mergeCell ref="F41:G41"/>
    <mergeCell ref="F43:G43"/>
    <mergeCell ref="F44:G44"/>
    <mergeCell ref="B47:C47"/>
    <mergeCell ref="F45:G45"/>
    <mergeCell ref="F46:G46"/>
  </mergeCells>
  <dataValidations count="9">
    <dataValidation type="list" allowBlank="1" showInputMessage="1" showErrorMessage="1" sqref="C32">
      <formula1>Supporto25</formula1>
    </dataValidation>
    <dataValidation type="list" allowBlank="1" showInputMessage="1" showErrorMessage="1" sqref="C36">
      <formula1>Asta</formula1>
    </dataValidation>
    <dataValidation type="list" allowBlank="1" showInputMessage="1" showErrorMessage="1" sqref="C51">
      <formula1>Morsettino</formula1>
    </dataValidation>
    <dataValidation type="list" allowBlank="1" showInputMessage="1" showErrorMessage="1" sqref="C19">
      <formula1>Lamella25</formula1>
    </dataValidation>
    <dataValidation type="list" allowBlank="1" showInputMessage="1" showErrorMessage="1" sqref="C28">
      <formula1>FermaTerilene</formula1>
    </dataValidation>
    <dataValidation type="list" allowBlank="1" showInputMessage="1" showErrorMessage="1" sqref="C29">
      <formula1>TappoSpiaggiale</formula1>
    </dataValidation>
    <dataValidation type="list" allowBlank="1" showInputMessage="1" showErrorMessage="1" sqref="C33">
      <formula1>TappoCassonetto</formula1>
    </dataValidation>
    <dataValidation type="list" allowBlank="1" showInputMessage="1" showErrorMessage="1" sqref="C52">
      <formula1>Occhiello</formula1>
    </dataValidation>
    <dataValidation type="list" allowBlank="1" showInputMessage="1" showErrorMessage="1" sqref="C21">
      <formula1>Alberino</formula1>
    </dataValidation>
  </dataValidations>
  <pageMargins left="0.11811023622047245" right="0.11811023622047245" top="0.11811023622047245" bottom="0" header="0.31496062992125984" footer="0.31496062992125984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L55"/>
  <sheetViews>
    <sheetView tabSelected="1" workbookViewId="0">
      <selection activeCell="E6" sqref="E6"/>
    </sheetView>
  </sheetViews>
  <sheetFormatPr defaultColWidth="8.85546875" defaultRowHeight="15" x14ac:dyDescent="0.25"/>
  <cols>
    <col min="1" max="1" width="3" customWidth="1"/>
    <col min="3" max="3" width="26" customWidth="1"/>
    <col min="4" max="4" width="12" customWidth="1"/>
    <col min="5" max="5" width="13.85546875" customWidth="1"/>
    <col min="6" max="6" width="10.42578125" customWidth="1"/>
    <col min="7" max="7" width="11.7109375" customWidth="1"/>
    <col min="8" max="8" width="14.85546875" customWidth="1"/>
    <col min="9" max="9" width="2.7109375" customWidth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2" spans="1:12" x14ac:dyDescent="0.25">
      <c r="A2" s="84"/>
      <c r="B2" s="84"/>
      <c r="C2" s="84"/>
      <c r="D2" s="84"/>
      <c r="E2" s="84"/>
      <c r="F2" s="84"/>
      <c r="G2" s="84"/>
      <c r="H2" s="84"/>
    </row>
    <row r="3" spans="1:12" x14ac:dyDescent="0.25">
      <c r="A3" s="84"/>
      <c r="B3" s="84"/>
      <c r="C3" s="84"/>
      <c r="D3" s="84"/>
      <c r="E3" s="84"/>
      <c r="F3" s="84"/>
      <c r="G3" s="84"/>
      <c r="H3" s="84"/>
    </row>
    <row r="4" spans="1:12" x14ac:dyDescent="0.25">
      <c r="A4" s="84"/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x14ac:dyDescent="0.25">
      <c r="A6" s="84"/>
      <c r="B6" s="84"/>
      <c r="C6" s="84"/>
      <c r="D6" s="84"/>
      <c r="E6" s="84"/>
      <c r="F6" s="84"/>
      <c r="G6" s="84"/>
      <c r="H6" s="84"/>
    </row>
    <row r="7" spans="1:12" x14ac:dyDescent="0.25">
      <c r="A7" s="84"/>
      <c r="B7" s="84"/>
      <c r="C7" s="84"/>
      <c r="D7" s="84"/>
      <c r="E7" s="84"/>
      <c r="F7" s="84"/>
      <c r="G7" s="84"/>
      <c r="H7" s="84"/>
    </row>
    <row r="8" spans="1:12" ht="15" customHeight="1" x14ac:dyDescent="0.35">
      <c r="A8" s="84"/>
      <c r="B8" s="107" t="s">
        <v>270</v>
      </c>
      <c r="C8" s="107"/>
      <c r="D8" s="107"/>
      <c r="E8" s="107"/>
      <c r="F8" s="107"/>
      <c r="G8" s="107"/>
      <c r="H8" s="107"/>
      <c r="I8" s="8"/>
    </row>
    <row r="9" spans="1:12" ht="15.75" customHeight="1" thickBot="1" x14ac:dyDescent="0.4">
      <c r="A9" s="84"/>
      <c r="B9" s="108"/>
      <c r="C9" s="108"/>
      <c r="D9" s="108"/>
      <c r="E9" s="108"/>
      <c r="F9" s="108"/>
      <c r="G9" s="108"/>
      <c r="H9" s="108"/>
      <c r="I9" s="8"/>
    </row>
    <row r="10" spans="1:12" ht="15.75" thickTop="1" x14ac:dyDescent="0.25">
      <c r="A10" s="84"/>
      <c r="B10" s="84"/>
      <c r="C10" s="84"/>
      <c r="D10" s="84"/>
      <c r="E10" s="84"/>
      <c r="F10" s="84"/>
      <c r="G10" s="84"/>
      <c r="H10" s="84"/>
    </row>
    <row r="11" spans="1:12" x14ac:dyDescent="0.25">
      <c r="A11" s="84"/>
      <c r="B11" s="12"/>
      <c r="C11" s="87" t="s">
        <v>226</v>
      </c>
      <c r="D11" s="84"/>
      <c r="E11" s="84"/>
      <c r="F11" s="84"/>
      <c r="G11" s="84"/>
      <c r="H11" s="84"/>
      <c r="J11" s="1"/>
    </row>
    <row r="12" spans="1:12" ht="15" customHeight="1" x14ac:dyDescent="0.35">
      <c r="A12" s="84"/>
      <c r="B12" s="30"/>
      <c r="C12" s="87" t="s">
        <v>81</v>
      </c>
      <c r="D12" s="84"/>
      <c r="E12" s="84"/>
      <c r="F12" s="84"/>
      <c r="G12" s="84"/>
      <c r="H12" s="84"/>
      <c r="J12" s="8"/>
      <c r="K12" s="8"/>
      <c r="L12" s="1"/>
    </row>
    <row r="13" spans="1:12" ht="15" customHeight="1" x14ac:dyDescent="0.35">
      <c r="A13" s="84"/>
      <c r="B13" s="31"/>
      <c r="C13" s="87" t="s">
        <v>80</v>
      </c>
      <c r="D13" s="84"/>
      <c r="E13" s="84"/>
      <c r="F13" s="84"/>
      <c r="G13" s="84"/>
      <c r="H13" s="84"/>
      <c r="J13" s="8"/>
      <c r="K13" s="8"/>
      <c r="L13" s="1"/>
    </row>
    <row r="14" spans="1:12" ht="15" customHeight="1" x14ac:dyDescent="0.35">
      <c r="A14" s="84"/>
      <c r="B14" s="29"/>
      <c r="C14" s="87" t="s">
        <v>79</v>
      </c>
      <c r="D14" s="84"/>
      <c r="E14" s="84"/>
      <c r="F14" s="84"/>
      <c r="G14" s="84"/>
      <c r="H14" s="84"/>
      <c r="J14" s="8"/>
      <c r="K14" s="8"/>
      <c r="L14" s="1"/>
    </row>
    <row r="15" spans="1:12" ht="15" customHeight="1" x14ac:dyDescent="0.35">
      <c r="A15" s="84"/>
      <c r="B15" s="56"/>
      <c r="C15" s="87" t="s">
        <v>189</v>
      </c>
      <c r="D15" s="84"/>
      <c r="E15" s="84"/>
      <c r="F15" s="84"/>
      <c r="G15" s="84"/>
      <c r="H15" s="84"/>
      <c r="J15" s="8"/>
      <c r="K15" s="8"/>
      <c r="L15" s="1"/>
    </row>
    <row r="16" spans="1:12" x14ac:dyDescent="0.25">
      <c r="A16" s="84"/>
      <c r="C16" s="84"/>
      <c r="D16" s="84"/>
      <c r="E16" s="84"/>
      <c r="F16" s="84"/>
      <c r="G16" s="84"/>
      <c r="H16" s="84"/>
      <c r="I16" s="1"/>
    </row>
    <row r="17" spans="1:8" x14ac:dyDescent="0.25">
      <c r="A17" s="84"/>
      <c r="B17" s="2"/>
      <c r="C17" s="2"/>
      <c r="D17" s="33" t="s">
        <v>187</v>
      </c>
      <c r="E17" s="33" t="s">
        <v>13</v>
      </c>
      <c r="F17" s="33" t="s">
        <v>8</v>
      </c>
      <c r="G17" s="33" t="s">
        <v>9</v>
      </c>
      <c r="H17" s="52" t="s">
        <v>26</v>
      </c>
    </row>
    <row r="18" spans="1:8" x14ac:dyDescent="0.25">
      <c r="A18" s="84"/>
      <c r="B18" s="2"/>
      <c r="C18" s="2"/>
      <c r="D18" s="64">
        <v>1.3</v>
      </c>
      <c r="E18" s="65">
        <v>15</v>
      </c>
      <c r="F18" s="64">
        <v>2.5</v>
      </c>
      <c r="G18" s="64">
        <v>1.2</v>
      </c>
      <c r="H18" s="52">
        <f>G18*F18</f>
        <v>3</v>
      </c>
    </row>
    <row r="19" spans="1:8" x14ac:dyDescent="0.25">
      <c r="A19" s="84"/>
      <c r="B19" s="2"/>
      <c r="C19" s="2"/>
      <c r="D19" s="3"/>
      <c r="E19" s="18"/>
      <c r="F19" s="6"/>
      <c r="G19" s="6"/>
      <c r="H19" s="3"/>
    </row>
    <row r="20" spans="1:8" ht="15.75" thickBot="1" x14ac:dyDescent="0.3">
      <c r="A20" s="84"/>
      <c r="B20" s="20" t="s">
        <v>11</v>
      </c>
      <c r="C20" s="20" t="s">
        <v>16</v>
      </c>
      <c r="D20" s="21" t="s">
        <v>17</v>
      </c>
      <c r="E20" s="21" t="s">
        <v>27</v>
      </c>
      <c r="F20" s="22" t="s">
        <v>18</v>
      </c>
      <c r="G20" s="22" t="s">
        <v>29</v>
      </c>
      <c r="H20" s="21" t="s">
        <v>19</v>
      </c>
    </row>
    <row r="21" spans="1:8" ht="15.75" thickTop="1" x14ac:dyDescent="0.25">
      <c r="A21" s="84"/>
      <c r="B21" s="34">
        <f>IFERROR(VLOOKUP(C21,Dati!$A$22:$C$25,2,FALSE),"")</f>
        <v>25</v>
      </c>
      <c r="C21" s="68" t="s">
        <v>39</v>
      </c>
      <c r="D21" s="19">
        <f>IFERROR(VLOOKUP(C21,Dati!$A$22:$C$25,3,FALSE),"")</f>
        <v>8.7999999999999995E-2</v>
      </c>
      <c r="E21" s="19">
        <f t="shared" ref="E21:E36" si="0">D21*(1-$E$18/100)</f>
        <v>7.4799999999999991E-2</v>
      </c>
      <c r="F21" s="11" t="s">
        <v>0</v>
      </c>
      <c r="G21" s="10">
        <f>(50+30*ISNUMBER(FIND(15,C21)))*F18*G18</f>
        <v>150</v>
      </c>
      <c r="H21" s="11">
        <f>E21*G21</f>
        <v>11.219999999999999</v>
      </c>
    </row>
    <row r="22" spans="1:8" x14ac:dyDescent="0.25">
      <c r="A22" s="84"/>
      <c r="B22" s="9" t="s">
        <v>84</v>
      </c>
      <c r="C22" s="80" t="s">
        <v>214</v>
      </c>
      <c r="D22" s="4">
        <v>1.7</v>
      </c>
      <c r="E22" s="5">
        <f t="shared" si="0"/>
        <v>1.4449999999999998</v>
      </c>
      <c r="F22" s="4" t="s">
        <v>0</v>
      </c>
      <c r="G22" s="3">
        <f>F18</f>
        <v>2.5</v>
      </c>
      <c r="H22" s="4">
        <f t="shared" ref="H22:H36" si="1">E22*G22</f>
        <v>3.6124999999999998</v>
      </c>
    </row>
    <row r="23" spans="1:8" x14ac:dyDescent="0.25">
      <c r="A23" s="84"/>
      <c r="B23" s="9" t="s">
        <v>33</v>
      </c>
      <c r="C23" s="2" t="s">
        <v>34</v>
      </c>
      <c r="D23" s="5">
        <v>0.37</v>
      </c>
      <c r="E23" s="5">
        <f t="shared" si="0"/>
        <v>0.3145</v>
      </c>
      <c r="F23" s="4" t="s">
        <v>0</v>
      </c>
      <c r="G23" s="3">
        <f>F18</f>
        <v>2.5</v>
      </c>
      <c r="H23" s="4">
        <f t="shared" si="1"/>
        <v>0.78625</v>
      </c>
    </row>
    <row r="24" spans="1:8" x14ac:dyDescent="0.25">
      <c r="A24" s="84"/>
      <c r="B24" s="73">
        <f>IF($C$21="Lamella 15 mm",Dati!$B$41,IF($C$21="Lamella 15 mm perf",Dati!$B$41,Dati!$B$40))</f>
        <v>920</v>
      </c>
      <c r="C24" s="74" t="str">
        <f>IF($C$21="Lamella 15 mm",Dati!$A$41,IF($C$21="Lamella 15 mm perf",Dati!$A$41,Dati!$A$40))</f>
        <v>Terilene 25 mm</v>
      </c>
      <c r="D24" s="75">
        <f>IF($C$21="Lamella 15 mm",Dati!$C$41,IF($C$21="Lamella 15 mm perf",Dati!$C$41,Dati!$C$40))</f>
        <v>7.0000000000000007E-2</v>
      </c>
      <c r="E24" s="5">
        <f t="shared" si="0"/>
        <v>5.9500000000000004E-2</v>
      </c>
      <c r="F24" s="4" t="s">
        <v>0</v>
      </c>
      <c r="G24" s="3">
        <f>G27*G18</f>
        <v>7.1999999999999993</v>
      </c>
      <c r="H24" s="4">
        <f t="shared" si="1"/>
        <v>0.4284</v>
      </c>
    </row>
    <row r="25" spans="1:8" x14ac:dyDescent="0.25">
      <c r="A25" s="84"/>
      <c r="B25" s="9">
        <v>1021</v>
      </c>
      <c r="C25" s="2" t="s">
        <v>2</v>
      </c>
      <c r="D25" s="5">
        <v>4.4999999999999998E-2</v>
      </c>
      <c r="E25" s="5">
        <f t="shared" si="0"/>
        <v>3.8249999999999999E-2</v>
      </c>
      <c r="F25" s="4" t="s">
        <v>0</v>
      </c>
      <c r="G25" s="3">
        <f>G18*G27+F18</f>
        <v>9.6999999999999993</v>
      </c>
      <c r="H25" s="4">
        <f t="shared" si="1"/>
        <v>0.37102499999999994</v>
      </c>
    </row>
    <row r="26" spans="1:8" x14ac:dyDescent="0.25">
      <c r="A26" s="84"/>
      <c r="B26" s="9" t="s">
        <v>195</v>
      </c>
      <c r="C26" s="2" t="s">
        <v>123</v>
      </c>
      <c r="D26" s="5">
        <v>12</v>
      </c>
      <c r="E26" s="5">
        <f t="shared" si="0"/>
        <v>10.199999999999999</v>
      </c>
      <c r="F26" s="4" t="s">
        <v>4</v>
      </c>
      <c r="G26" s="3">
        <v>1</v>
      </c>
      <c r="H26" s="4">
        <f t="shared" si="1"/>
        <v>10.199999999999999</v>
      </c>
    </row>
    <row r="27" spans="1:8" x14ac:dyDescent="0.25">
      <c r="A27" s="84"/>
      <c r="B27" s="9">
        <v>902</v>
      </c>
      <c r="C27" s="2" t="s">
        <v>5</v>
      </c>
      <c r="D27" s="5">
        <v>0.11</v>
      </c>
      <c r="E27" s="5">
        <f t="shared" si="0"/>
        <v>9.35E-2</v>
      </c>
      <c r="F27" s="4" t="s">
        <v>4</v>
      </c>
      <c r="G27" s="6">
        <f>IF(F18&lt;(0.86-0.21*ISNUMBER(FIND("15",$C$21))),2,IF(F18&lt;(1.44-0.35*ISNUMBER(FIND("15",$C$21))),3,IF(F18&lt;(2.1-0.6*ISNUMBER(FIND("15",$C$21))),4,IF(F18&lt;(2.3-0.4*ISNUMBER(FIND("15",$C$21))),5,IF(F18&lt;=(2.6-0.4*ISNUMBER(FIND("15",$C$21))),6,IF(F18&gt;(2.6-0.4*ISNUMBER(FIND("15",$C$21))),7))))))</f>
        <v>6</v>
      </c>
      <c r="H27" s="4">
        <f t="shared" si="1"/>
        <v>0.56099999999999994</v>
      </c>
    </row>
    <row r="28" spans="1:8" x14ac:dyDescent="0.25">
      <c r="A28" s="84"/>
      <c r="B28" s="9">
        <v>905</v>
      </c>
      <c r="C28" s="2" t="s">
        <v>6</v>
      </c>
      <c r="D28" s="5">
        <v>3.5000000000000003E-2</v>
      </c>
      <c r="E28" s="5">
        <f t="shared" si="0"/>
        <v>2.9750000000000002E-2</v>
      </c>
      <c r="F28" s="4" t="s">
        <v>4</v>
      </c>
      <c r="G28" s="39">
        <f>IF(F18&lt;(0.86-0.21*ISNUMBER(FIND("15",$C$21))),2,IF(F18&lt;(1.44-0.35*ISNUMBER(FIND("15",$C$21))),3,IF(F18&lt;(2.1-0.6*ISNUMBER(FIND("15",$C$21))),4,IF(F18&lt;(2.3-0.4*ISNUMBER(FIND("15",$C$21))),5,IF(F18&lt;=(2.6-0.4*ISNUMBER(FIND("15",$C$21))),6,IF(F18&gt;(2.6-0.4*ISNUMBER(FIND("15",$C$21))),7))))))</f>
        <v>6</v>
      </c>
      <c r="H28" s="4">
        <f t="shared" si="1"/>
        <v>0.17850000000000002</v>
      </c>
    </row>
    <row r="29" spans="1:8" x14ac:dyDescent="0.25">
      <c r="A29" s="84"/>
      <c r="B29" s="36">
        <f>IFERROR(VLOOKUP(C29,Dati!$A$46:$C$47,2,FALSE),"")</f>
        <v>910</v>
      </c>
      <c r="C29" s="79" t="s">
        <v>235</v>
      </c>
      <c r="D29" s="5">
        <f>IFERROR(VLOOKUP(C29,Dati!$A$46:$C$47,3,FALSE),"")</f>
        <v>0.03</v>
      </c>
      <c r="E29" s="5">
        <f t="shared" si="0"/>
        <v>2.5499999999999998E-2</v>
      </c>
      <c r="F29" s="4" t="s">
        <v>4</v>
      </c>
      <c r="G29" s="6">
        <f>IF(F18&lt;(0.86-0.21*ISNUMBER(FIND("15",$C$21))),2,IF(F18&lt;(1.44-0.35*ISNUMBER(FIND("15",$C$21))),3,IF(F18&lt;(2.1-0.6*ISNUMBER(FIND("15",$C$21))),4,IF(F18&lt;(2.3-0.4*ISNUMBER(FIND("15",$C$21))),5,IF(F18&lt;=(2.6-0.4*ISNUMBER(FIND("15",$C$21))),6,IF(F18&gt;(2.6-0.4*ISNUMBER(FIND("15",$C$21))),7))))))</f>
        <v>6</v>
      </c>
      <c r="H29" s="4">
        <f t="shared" si="1"/>
        <v>0.153</v>
      </c>
    </row>
    <row r="30" spans="1:8" x14ac:dyDescent="0.25">
      <c r="A30" s="84"/>
      <c r="B30" s="9">
        <f>IFERROR(VLOOKUP(C30,Dati!$A$49:$C$50,2,FALSE),"")</f>
        <v>911</v>
      </c>
      <c r="C30" s="79" t="s">
        <v>239</v>
      </c>
      <c r="D30" s="5">
        <f>IFERROR(VLOOKUP(C30,Dati!$A$49:$C$50,3,FALSE),"")</f>
        <v>0.05</v>
      </c>
      <c r="E30" s="5">
        <f t="shared" si="0"/>
        <v>4.2500000000000003E-2</v>
      </c>
      <c r="F30" s="4" t="s">
        <v>4</v>
      </c>
      <c r="G30" s="6">
        <v>2</v>
      </c>
      <c r="H30" s="4">
        <f t="shared" si="1"/>
        <v>8.5000000000000006E-2</v>
      </c>
    </row>
    <row r="31" spans="1:8" x14ac:dyDescent="0.25">
      <c r="A31" s="84"/>
      <c r="B31" s="36">
        <f>IFERROR(VLOOKUP(C31,Dati!$A$28:$C$30,2,FALSE),"")</f>
        <v>922</v>
      </c>
      <c r="C31" s="66" t="s">
        <v>87</v>
      </c>
      <c r="D31" s="5">
        <f>IFERROR(VLOOKUP(C31,Dati!$A$28:$C$30,3,FALSE),"")</f>
        <v>0.21</v>
      </c>
      <c r="E31" s="5">
        <f t="shared" si="0"/>
        <v>0.17849999999999999</v>
      </c>
      <c r="F31" s="4" t="s">
        <v>4</v>
      </c>
      <c r="G31" s="6">
        <f>IF(F18&lt;1.6,2,IF(F18&lt;=2.5,3,IF(F18&gt;2.501,4)))</f>
        <v>3</v>
      </c>
      <c r="H31" s="4">
        <f t="shared" si="1"/>
        <v>0.53549999999999998</v>
      </c>
    </row>
    <row r="32" spans="1:8" x14ac:dyDescent="0.25">
      <c r="A32" s="84"/>
      <c r="B32" s="9">
        <f>IFERROR(VLOOKUP(C32,Dati!$A$52:$C$53,2,FALSE),"")</f>
        <v>924</v>
      </c>
      <c r="C32" s="79" t="s">
        <v>247</v>
      </c>
      <c r="D32" s="5">
        <f>IFERROR(VLOOKUP(C32,Dati!$A$52:$C$53,3,FALSE),"")</f>
        <v>0.03</v>
      </c>
      <c r="E32" s="5">
        <f t="shared" si="0"/>
        <v>2.5499999999999998E-2</v>
      </c>
      <c r="F32" s="4" t="s">
        <v>4</v>
      </c>
      <c r="G32" s="37">
        <v>2</v>
      </c>
      <c r="H32" s="24">
        <f t="shared" si="1"/>
        <v>5.0999999999999997E-2</v>
      </c>
    </row>
    <row r="33" spans="1:8" x14ac:dyDescent="0.25">
      <c r="A33" s="84"/>
      <c r="B33" s="9">
        <v>916</v>
      </c>
      <c r="C33" s="2" t="s">
        <v>31</v>
      </c>
      <c r="D33" s="5">
        <v>0.03</v>
      </c>
      <c r="E33" s="5">
        <f t="shared" si="0"/>
        <v>2.5499999999999998E-2</v>
      </c>
      <c r="F33" s="24" t="s">
        <v>4</v>
      </c>
      <c r="G33" s="37">
        <v>1</v>
      </c>
      <c r="H33" s="24">
        <f t="shared" si="1"/>
        <v>2.5499999999999998E-2</v>
      </c>
    </row>
    <row r="34" spans="1:8" x14ac:dyDescent="0.25">
      <c r="A34" s="84"/>
      <c r="B34" s="9" t="s">
        <v>234</v>
      </c>
      <c r="C34" s="2" t="s">
        <v>238</v>
      </c>
      <c r="D34" s="5">
        <v>0.02</v>
      </c>
      <c r="E34" s="5">
        <f t="shared" si="0"/>
        <v>1.7000000000000001E-2</v>
      </c>
      <c r="F34" s="24" t="s">
        <v>4</v>
      </c>
      <c r="G34" s="6">
        <f>IF(F18&lt;(0.86-0.21*ISNUMBER(FIND("15",$C$21))),2,IF(F18&lt;(1.44-0.35*ISNUMBER(FIND("15",$C$21))),3,IF(F18&lt;(2.1-0.6*ISNUMBER(FIND("15",$C$21))),4,IF(F18&lt;(2.3-0.4*ISNUMBER(FIND("15",$C$21))),5,IF(F18&lt;=(2.6-0.4*ISNUMBER(FIND("15",$C$21))),6,IF(F18&gt;(2.6-0.4*ISNUMBER(FIND("15",$C$21))),7))))))*2</f>
        <v>12</v>
      </c>
      <c r="H34" s="24">
        <f t="shared" si="1"/>
        <v>0.20400000000000001</v>
      </c>
    </row>
    <row r="35" spans="1:8" x14ac:dyDescent="0.25">
      <c r="A35" s="84"/>
      <c r="B35" s="9" t="s">
        <v>194</v>
      </c>
      <c r="C35" s="2" t="s">
        <v>124</v>
      </c>
      <c r="D35" s="5">
        <v>2.2999999999999998</v>
      </c>
      <c r="E35" s="5">
        <f t="shared" si="0"/>
        <v>1.9549999999999998</v>
      </c>
      <c r="F35" s="24" t="s">
        <v>0</v>
      </c>
      <c r="G35" s="15">
        <f>G18</f>
        <v>1.2</v>
      </c>
      <c r="H35" s="24">
        <f t="shared" si="1"/>
        <v>2.3459999999999996</v>
      </c>
    </row>
    <row r="36" spans="1:8" x14ac:dyDescent="0.25">
      <c r="A36" s="84"/>
      <c r="B36" s="73">
        <f>IF($C$21="Lamella 15 mm",Dati!$B$43,IF($C$21="Lamella 15 mm perf",Dati!$B$43,Dati!$B$44))</f>
        <v>907</v>
      </c>
      <c r="C36" s="74" t="str">
        <f>IF($C$21="Lamella 15 mm",Dati!$A$43,IF($C$21="Lamella 15 mm perf",Dati!$A$43,Dati!$A$44))</f>
        <v>Salvaterilene 25 mm</v>
      </c>
      <c r="D36" s="5">
        <v>2.5000000000000001E-2</v>
      </c>
      <c r="E36" s="5">
        <f t="shared" si="0"/>
        <v>2.1250000000000002E-2</v>
      </c>
      <c r="F36" s="24" t="s">
        <v>4</v>
      </c>
      <c r="G36" s="15">
        <f>IF(F18&lt;(0.86-0.21*ISNUMBER(FIND("15",$C$21))),2,IF(F18&lt;(1.44-0.35*ISNUMBER(FIND("15",$C$21))),3,IF(F18&lt;(2.1-0.6*ISNUMBER(FIND("15",$C$21))),4,IF(F18&lt;(2.3-0.4*ISNUMBER(FIND("15",$C$21))),5,IF(F18&lt;=(2.6-0.4*ISNUMBER(FIND("15",$C$21))),6,IF(F18&gt;(2.6-0.4*ISNUMBER(FIND("15",$C$21))),7))))))</f>
        <v>6</v>
      </c>
      <c r="H36" s="24">
        <f t="shared" si="1"/>
        <v>0.1275</v>
      </c>
    </row>
    <row r="37" spans="1:8" ht="15.75" thickBot="1" x14ac:dyDescent="0.3">
      <c r="A37" s="84"/>
      <c r="B37" s="2"/>
      <c r="C37" s="2"/>
      <c r="D37" s="3"/>
      <c r="E37" s="5"/>
      <c r="F37" s="116" t="s">
        <v>12</v>
      </c>
      <c r="G37" s="116"/>
      <c r="H37" s="38">
        <f>SUM(H21:H36)</f>
        <v>30.885175</v>
      </c>
    </row>
    <row r="38" spans="1:8" ht="15.75" thickTop="1" x14ac:dyDescent="0.25">
      <c r="A38" s="84"/>
      <c r="B38" s="2"/>
      <c r="C38" s="2"/>
      <c r="D38" s="3"/>
      <c r="E38" s="3"/>
      <c r="F38" s="117" t="s">
        <v>7</v>
      </c>
      <c r="G38" s="117"/>
      <c r="H38" s="7">
        <f>IF(H18&gt;=1,H37/H18,H37*H18)</f>
        <v>10.295058333333333</v>
      </c>
    </row>
    <row r="39" spans="1:8" x14ac:dyDescent="0.25">
      <c r="A39" s="84"/>
      <c r="B39" s="84"/>
      <c r="C39" s="84"/>
      <c r="D39" s="84"/>
      <c r="E39" s="84"/>
      <c r="F39" s="84"/>
      <c r="G39" s="84"/>
      <c r="H39" s="84"/>
    </row>
    <row r="40" spans="1:8" x14ac:dyDescent="0.25">
      <c r="A40" s="84"/>
      <c r="B40" s="84"/>
      <c r="C40" s="84"/>
      <c r="D40" s="84"/>
      <c r="E40" s="84"/>
      <c r="F40" s="113" t="s">
        <v>20</v>
      </c>
      <c r="G40" s="113"/>
      <c r="H40" s="67">
        <v>55</v>
      </c>
    </row>
    <row r="41" spans="1:8" x14ac:dyDescent="0.25">
      <c r="A41" s="84"/>
      <c r="B41" s="84"/>
      <c r="C41" s="84"/>
      <c r="D41" s="84"/>
      <c r="E41" s="84"/>
      <c r="F41" s="113" t="s">
        <v>10</v>
      </c>
      <c r="G41" s="113"/>
      <c r="H41" s="17">
        <f>(H40-H38)/H40</f>
        <v>0.81281712121212124</v>
      </c>
    </row>
    <row r="42" spans="1:8" x14ac:dyDescent="0.25">
      <c r="A42" s="84"/>
      <c r="B42" s="84"/>
      <c r="C42" s="84"/>
      <c r="D42" s="84"/>
      <c r="E42" s="84"/>
      <c r="F42" s="115" t="s">
        <v>186</v>
      </c>
      <c r="G42" s="115"/>
      <c r="H42" s="54">
        <f>IF(H18&lt;D18,H40*D18,H40*H18)</f>
        <v>165</v>
      </c>
    </row>
    <row r="43" spans="1:8" x14ac:dyDescent="0.25">
      <c r="A43" s="84"/>
      <c r="B43" s="84"/>
      <c r="C43" s="84"/>
      <c r="D43" s="84"/>
      <c r="E43" s="84"/>
      <c r="F43" s="115" t="s">
        <v>188</v>
      </c>
      <c r="G43" s="115"/>
      <c r="H43" s="55">
        <f>(H42-H37)/H42</f>
        <v>0.81281712121212124</v>
      </c>
    </row>
    <row r="44" spans="1:8" ht="15.75" thickBot="1" x14ac:dyDescent="0.3">
      <c r="A44" s="84"/>
      <c r="B44" s="114" t="s">
        <v>25</v>
      </c>
      <c r="C44" s="114"/>
      <c r="D44" s="84"/>
      <c r="E44" s="84"/>
      <c r="F44" s="84"/>
      <c r="G44" s="84"/>
      <c r="H44" s="84"/>
    </row>
    <row r="45" spans="1:8" x14ac:dyDescent="0.25">
      <c r="A45" s="84"/>
      <c r="B45" s="100"/>
      <c r="C45" s="100"/>
      <c r="D45" s="84"/>
      <c r="E45" s="84"/>
      <c r="F45" s="84"/>
      <c r="G45" s="84"/>
      <c r="H45" s="84"/>
    </row>
    <row r="46" spans="1:8" ht="15.75" thickBot="1" x14ac:dyDescent="0.3">
      <c r="A46" s="84"/>
      <c r="B46" s="20" t="s">
        <v>11</v>
      </c>
      <c r="C46" s="20" t="s">
        <v>16</v>
      </c>
      <c r="D46" s="21" t="s">
        <v>17</v>
      </c>
      <c r="E46" s="21" t="s">
        <v>27</v>
      </c>
      <c r="F46" s="22" t="s">
        <v>18</v>
      </c>
      <c r="G46" s="22" t="s">
        <v>29</v>
      </c>
      <c r="H46" s="21" t="s">
        <v>19</v>
      </c>
    </row>
    <row r="47" spans="1:8" ht="15.75" thickTop="1" x14ac:dyDescent="0.25">
      <c r="A47" s="84"/>
      <c r="B47" s="9">
        <v>918</v>
      </c>
      <c r="C47" s="2" t="s">
        <v>248</v>
      </c>
      <c r="D47" s="5">
        <v>0.11</v>
      </c>
      <c r="E47" s="5">
        <f t="shared" ref="E47:E50" si="2">D47*(1-$E$18/100)</f>
        <v>9.35E-2</v>
      </c>
      <c r="F47" s="4" t="s">
        <v>0</v>
      </c>
      <c r="G47" s="3">
        <f>2*G18+0.2</f>
        <v>2.6</v>
      </c>
      <c r="H47" s="4">
        <f t="shared" ref="H47:H50" si="3">E47*G47</f>
        <v>0.24310000000000001</v>
      </c>
    </row>
    <row r="48" spans="1:8" x14ac:dyDescent="0.25">
      <c r="A48" s="84"/>
      <c r="B48" s="92">
        <v>913</v>
      </c>
      <c r="C48" s="86" t="s">
        <v>252</v>
      </c>
      <c r="D48" s="93">
        <v>0.15</v>
      </c>
      <c r="E48" s="5">
        <f t="shared" si="2"/>
        <v>0.1275</v>
      </c>
      <c r="F48" s="89" t="s">
        <v>4</v>
      </c>
      <c r="G48" s="88">
        <v>2</v>
      </c>
      <c r="H48" s="89">
        <f t="shared" si="3"/>
        <v>0.255</v>
      </c>
    </row>
    <row r="49" spans="1:8" x14ac:dyDescent="0.25">
      <c r="A49" s="84"/>
      <c r="B49" s="36">
        <f>IFERROR(VLOOKUP(C49,Dati!$A$62:$C$64,2,FALSE),"")</f>
        <v>914</v>
      </c>
      <c r="C49" s="66" t="s">
        <v>89</v>
      </c>
      <c r="D49" s="5">
        <f>IFERROR(VLOOKUP(C49,Dati!$A$62:$C$64,3,FALSE),"")</f>
        <v>0.22</v>
      </c>
      <c r="E49" s="5">
        <f t="shared" si="2"/>
        <v>0.187</v>
      </c>
      <c r="F49" s="4" t="s">
        <v>4</v>
      </c>
      <c r="G49" s="3">
        <v>2</v>
      </c>
      <c r="H49" s="4">
        <f t="shared" si="3"/>
        <v>0.374</v>
      </c>
    </row>
    <row r="50" spans="1:8" x14ac:dyDescent="0.25">
      <c r="A50" s="84"/>
      <c r="B50" s="9" t="str">
        <f>IFERROR(VLOOKUP(C50,Dati!$A$55:$C$56,2,FALSE),"")</f>
        <v>911/OC</v>
      </c>
      <c r="C50" s="79" t="s">
        <v>243</v>
      </c>
      <c r="D50" s="5">
        <f>IFERROR(VLOOKUP(C50,Dati!$A$55:$C$56,3,FALSE),"")</f>
        <v>0.09</v>
      </c>
      <c r="E50" s="5">
        <f t="shared" si="2"/>
        <v>7.6499999999999999E-2</v>
      </c>
      <c r="F50" s="24" t="s">
        <v>4</v>
      </c>
      <c r="G50" s="15">
        <v>2</v>
      </c>
      <c r="H50" s="4">
        <f t="shared" si="3"/>
        <v>0.153</v>
      </c>
    </row>
    <row r="51" spans="1:8" ht="15.75" thickBot="1" x14ac:dyDescent="0.3">
      <c r="A51" s="84"/>
      <c r="B51" s="2"/>
      <c r="C51" s="2"/>
      <c r="D51" s="3"/>
      <c r="E51" s="3"/>
      <c r="F51" s="116" t="s">
        <v>14</v>
      </c>
      <c r="G51" s="116"/>
      <c r="H51" s="38">
        <f>SUM(H47:H50)</f>
        <v>1.0250999999999999</v>
      </c>
    </row>
    <row r="52" spans="1:8" ht="15.75" thickTop="1" x14ac:dyDescent="0.25">
      <c r="A52" s="84"/>
      <c r="B52" s="84"/>
      <c r="C52" s="84"/>
      <c r="D52" s="84"/>
      <c r="E52" s="84"/>
      <c r="F52" s="84"/>
      <c r="G52" s="84"/>
      <c r="H52" s="84"/>
    </row>
    <row r="53" spans="1:8" x14ac:dyDescent="0.25">
      <c r="A53" s="84"/>
      <c r="B53" s="84"/>
      <c r="C53" s="84"/>
      <c r="D53" s="84"/>
      <c r="E53" s="84"/>
      <c r="F53" s="113" t="s">
        <v>28</v>
      </c>
      <c r="G53" s="113"/>
      <c r="H53" s="67">
        <v>1.5</v>
      </c>
    </row>
    <row r="54" spans="1:8" x14ac:dyDescent="0.25">
      <c r="A54" s="84"/>
      <c r="B54" s="84"/>
      <c r="C54" s="84"/>
      <c r="D54" s="84"/>
      <c r="E54" s="84"/>
      <c r="F54" s="113" t="s">
        <v>10</v>
      </c>
      <c r="G54" s="113"/>
      <c r="H54" s="17">
        <f>(H53-H51)/H53</f>
        <v>0.31660000000000005</v>
      </c>
    </row>
    <row r="55" spans="1:8" x14ac:dyDescent="0.25">
      <c r="A55" s="84"/>
      <c r="B55" s="84"/>
      <c r="C55" s="84"/>
      <c r="D55" s="84"/>
      <c r="E55" s="84"/>
      <c r="F55" s="84"/>
      <c r="G55" s="84"/>
      <c r="H55" s="84"/>
    </row>
  </sheetData>
  <sheetProtection formatCells="0" formatColumns="0" formatRows="0" insertColumns="0" insertRows="0" insertHyperlinks="0" deleteColumns="0" deleteRows="0" sort="0" autoFilter="0" pivotTables="0"/>
  <mergeCells count="11">
    <mergeCell ref="F51:G51"/>
    <mergeCell ref="F53:G53"/>
    <mergeCell ref="F54:G54"/>
    <mergeCell ref="B8:H9"/>
    <mergeCell ref="F37:G37"/>
    <mergeCell ref="F38:G38"/>
    <mergeCell ref="F40:G40"/>
    <mergeCell ref="F41:G41"/>
    <mergeCell ref="B44:C44"/>
    <mergeCell ref="F42:G42"/>
    <mergeCell ref="F43:G43"/>
  </mergeCells>
  <dataValidations count="7">
    <dataValidation type="list" allowBlank="1" showInputMessage="1" showErrorMessage="1" sqref="C49">
      <formula1>Morsettino</formula1>
    </dataValidation>
    <dataValidation type="list" allowBlank="1" showInputMessage="1" showErrorMessage="1" sqref="C21">
      <formula1>Lamella25</formula1>
    </dataValidation>
    <dataValidation type="list" allowBlank="1" showInputMessage="1" showErrorMessage="1" sqref="C31">
      <formula1>Supporto25</formula1>
    </dataValidation>
    <dataValidation type="list" allowBlank="1" showInputMessage="1" showErrorMessage="1" sqref="C30">
      <formula1>TappoSpiaggiale</formula1>
    </dataValidation>
    <dataValidation type="list" allowBlank="1" showInputMessage="1" showErrorMessage="1" sqref="C29">
      <formula1>FermaTerilene</formula1>
    </dataValidation>
    <dataValidation type="list" allowBlank="1" showInputMessage="1" showErrorMessage="1" sqref="C32">
      <formula1>TappoCassonetto</formula1>
    </dataValidation>
    <dataValidation type="list" allowBlank="1" showInputMessage="1" showErrorMessage="1" sqref="C50">
      <formula1>Occhiello</formula1>
    </dataValidation>
  </dataValidations>
  <pageMargins left="0.11811023622047245" right="0.11811023622047245" top="0.11811023622047245" bottom="0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7"/>
  <dimension ref="A1:L55"/>
  <sheetViews>
    <sheetView topLeftCell="A16" workbookViewId="0">
      <selection activeCell="B49" sqref="B49:H49"/>
    </sheetView>
  </sheetViews>
  <sheetFormatPr defaultColWidth="8.85546875" defaultRowHeight="15" x14ac:dyDescent="0.25"/>
  <cols>
    <col min="1" max="1" width="3" customWidth="1"/>
    <col min="3" max="3" width="26.28515625" customWidth="1"/>
    <col min="4" max="4" width="12" customWidth="1"/>
    <col min="5" max="5" width="13.85546875" customWidth="1"/>
    <col min="6" max="6" width="10.140625" customWidth="1"/>
    <col min="7" max="7" width="11.7109375" customWidth="1"/>
    <col min="8" max="8" width="14.7109375" customWidth="1"/>
    <col min="9" max="9" width="2.7109375" customWidth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2" spans="1:12" x14ac:dyDescent="0.25">
      <c r="A2" s="84"/>
      <c r="B2" s="84"/>
      <c r="C2" s="84"/>
      <c r="D2" s="84"/>
      <c r="E2" s="84"/>
      <c r="F2" s="84"/>
      <c r="G2" s="84"/>
      <c r="H2" s="84"/>
    </row>
    <row r="3" spans="1:12" x14ac:dyDescent="0.25">
      <c r="A3" s="84"/>
      <c r="B3" s="84"/>
      <c r="C3" s="84"/>
      <c r="D3" s="84"/>
      <c r="E3" s="84"/>
      <c r="F3" s="84"/>
      <c r="G3" s="84"/>
      <c r="H3" s="84"/>
    </row>
    <row r="4" spans="1:12" x14ac:dyDescent="0.25">
      <c r="A4" s="84"/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x14ac:dyDescent="0.25">
      <c r="A6" s="84"/>
      <c r="B6" s="84"/>
      <c r="C6" s="84"/>
      <c r="D6" s="84"/>
      <c r="E6" s="84"/>
      <c r="F6" s="84"/>
      <c r="G6" s="84"/>
      <c r="H6" s="84"/>
    </row>
    <row r="7" spans="1:12" ht="15" customHeight="1" x14ac:dyDescent="0.35">
      <c r="A7" s="84"/>
      <c r="B7" s="118" t="s">
        <v>271</v>
      </c>
      <c r="C7" s="118"/>
      <c r="D7" s="118"/>
      <c r="E7" s="118"/>
      <c r="F7" s="118"/>
      <c r="G7" s="118"/>
      <c r="H7" s="118"/>
      <c r="I7" s="8"/>
    </row>
    <row r="8" spans="1:12" ht="15.75" customHeight="1" thickBot="1" x14ac:dyDescent="0.4">
      <c r="A8" s="84"/>
      <c r="B8" s="119"/>
      <c r="C8" s="119"/>
      <c r="D8" s="119"/>
      <c r="E8" s="119"/>
      <c r="F8" s="119"/>
      <c r="G8" s="119"/>
      <c r="H8" s="119"/>
      <c r="I8" s="8"/>
    </row>
    <row r="9" spans="1:12" ht="15.75" thickTop="1" x14ac:dyDescent="0.25">
      <c r="A9" s="84"/>
      <c r="B9" s="84"/>
      <c r="C9" s="84"/>
      <c r="D9" s="84"/>
      <c r="E9" s="84"/>
      <c r="F9" s="84"/>
      <c r="G9" s="84"/>
      <c r="H9" s="84"/>
    </row>
    <row r="10" spans="1:12" x14ac:dyDescent="0.25">
      <c r="A10" s="84"/>
      <c r="B10" s="12"/>
      <c r="C10" s="87" t="s">
        <v>226</v>
      </c>
      <c r="D10" s="84"/>
      <c r="E10" s="84"/>
      <c r="F10" s="84"/>
      <c r="G10" s="84"/>
      <c r="H10" s="84"/>
      <c r="J10" s="1"/>
    </row>
    <row r="11" spans="1:12" ht="15" customHeight="1" x14ac:dyDescent="0.35">
      <c r="A11" s="84"/>
      <c r="B11" s="30"/>
      <c r="C11" s="87" t="s">
        <v>81</v>
      </c>
      <c r="D11" s="84"/>
      <c r="E11" s="84"/>
      <c r="F11" s="84"/>
      <c r="G11" s="84"/>
      <c r="H11" s="84"/>
      <c r="J11" s="8"/>
      <c r="K11" s="8"/>
      <c r="L11" s="1"/>
    </row>
    <row r="12" spans="1:12" ht="15" customHeight="1" x14ac:dyDescent="0.35">
      <c r="A12" s="84"/>
      <c r="B12" s="31"/>
      <c r="C12" s="87" t="s">
        <v>80</v>
      </c>
      <c r="D12" s="84"/>
      <c r="E12" s="84"/>
      <c r="F12" s="84"/>
      <c r="G12" s="84"/>
      <c r="H12" s="84"/>
      <c r="J12" s="8"/>
      <c r="K12" s="8"/>
      <c r="L12" s="1"/>
    </row>
    <row r="13" spans="1:12" ht="15" customHeight="1" x14ac:dyDescent="0.35">
      <c r="A13" s="84"/>
      <c r="B13" s="29"/>
      <c r="C13" s="87" t="s">
        <v>79</v>
      </c>
      <c r="D13" s="84"/>
      <c r="E13" s="84"/>
      <c r="F13" s="84"/>
      <c r="G13" s="84"/>
      <c r="H13" s="84"/>
      <c r="J13" s="8"/>
      <c r="K13" s="8"/>
      <c r="L13" s="1"/>
    </row>
    <row r="14" spans="1:12" ht="15" customHeight="1" x14ac:dyDescent="0.35">
      <c r="A14" s="84"/>
      <c r="B14" s="56"/>
      <c r="C14" s="87" t="s">
        <v>189</v>
      </c>
      <c r="D14" s="84"/>
      <c r="E14" s="84"/>
      <c r="F14" s="84"/>
      <c r="G14" s="84"/>
      <c r="H14" s="84"/>
      <c r="J14" s="8"/>
      <c r="K14" s="8"/>
      <c r="L14" s="1"/>
    </row>
    <row r="15" spans="1:12" x14ac:dyDescent="0.25">
      <c r="A15" s="84"/>
      <c r="C15" s="84"/>
      <c r="D15" s="84"/>
      <c r="E15" s="84"/>
      <c r="F15" s="84"/>
      <c r="G15" s="84"/>
      <c r="H15" s="84"/>
      <c r="I15" s="1"/>
    </row>
    <row r="16" spans="1:12" x14ac:dyDescent="0.25">
      <c r="A16" s="84"/>
      <c r="B16" s="2"/>
      <c r="C16" s="2"/>
      <c r="D16" s="33" t="s">
        <v>187</v>
      </c>
      <c r="E16" s="33" t="s">
        <v>13</v>
      </c>
      <c r="F16" s="33" t="s">
        <v>8</v>
      </c>
      <c r="G16" s="33" t="s">
        <v>9</v>
      </c>
      <c r="H16" s="52" t="s">
        <v>26</v>
      </c>
    </row>
    <row r="17" spans="1:8" x14ac:dyDescent="0.25">
      <c r="A17" s="84"/>
      <c r="B17" s="2"/>
      <c r="C17" s="2"/>
      <c r="D17" s="64">
        <v>1.3</v>
      </c>
      <c r="E17" s="65">
        <v>15</v>
      </c>
      <c r="F17" s="64">
        <v>1.2</v>
      </c>
      <c r="G17" s="64">
        <v>1.2</v>
      </c>
      <c r="H17" s="52">
        <f>G17*F17</f>
        <v>1.44</v>
      </c>
    </row>
    <row r="18" spans="1:8" x14ac:dyDescent="0.25">
      <c r="A18" s="84"/>
      <c r="B18" s="2"/>
      <c r="C18" s="2"/>
      <c r="D18" s="3"/>
      <c r="E18" s="18"/>
      <c r="F18" s="6"/>
      <c r="G18" s="6"/>
      <c r="H18" s="3"/>
    </row>
    <row r="19" spans="1:8" ht="15.75" thickBot="1" x14ac:dyDescent="0.3">
      <c r="A19" s="84"/>
      <c r="B19" s="20" t="s">
        <v>11</v>
      </c>
      <c r="C19" s="20" t="s">
        <v>16</v>
      </c>
      <c r="D19" s="21" t="s">
        <v>17</v>
      </c>
      <c r="E19" s="21" t="s">
        <v>27</v>
      </c>
      <c r="F19" s="22" t="s">
        <v>18</v>
      </c>
      <c r="G19" s="22" t="s">
        <v>29</v>
      </c>
      <c r="H19" s="21" t="s">
        <v>19</v>
      </c>
    </row>
    <row r="20" spans="1:8" ht="15.75" thickTop="1" x14ac:dyDescent="0.25">
      <c r="A20" s="84"/>
      <c r="B20" s="34">
        <f>IFERROR(VLOOKUP(C20,Dati!$A$22:$C$25,2,FALSE),"")</f>
        <v>25</v>
      </c>
      <c r="C20" s="68" t="s">
        <v>39</v>
      </c>
      <c r="D20" s="19">
        <f>IFERROR(VLOOKUP(C20,Dati!$A$22:$C$25,3,FALSE),"")</f>
        <v>8.7999999999999995E-2</v>
      </c>
      <c r="E20" s="19">
        <f t="shared" ref="E20" si="0">D20*(1-$E$17/100)</f>
        <v>7.4799999999999991E-2</v>
      </c>
      <c r="F20" s="11" t="s">
        <v>0</v>
      </c>
      <c r="G20" s="10">
        <f>(50+30*ISNUMBER(FIND(15,C20)))*F17*G17</f>
        <v>72</v>
      </c>
      <c r="H20" s="11">
        <f>E20*G20</f>
        <v>5.3855999999999993</v>
      </c>
    </row>
    <row r="21" spans="1:8" x14ac:dyDescent="0.25">
      <c r="A21" s="84"/>
      <c r="B21" s="9" t="s">
        <v>84</v>
      </c>
      <c r="C21" s="80" t="s">
        <v>214</v>
      </c>
      <c r="D21" s="4">
        <v>1.7</v>
      </c>
      <c r="E21" s="5">
        <f t="shared" ref="E21:E37" si="1">D21*(1-$E$17/100)</f>
        <v>1.4449999999999998</v>
      </c>
      <c r="F21" s="4" t="s">
        <v>0</v>
      </c>
      <c r="G21" s="3">
        <f>F17</f>
        <v>1.2</v>
      </c>
      <c r="H21" s="4">
        <f t="shared" ref="H21:H37" si="2">E21*G21</f>
        <v>1.7339999999999998</v>
      </c>
    </row>
    <row r="22" spans="1:8" x14ac:dyDescent="0.25">
      <c r="A22" s="84"/>
      <c r="B22" s="9" t="s">
        <v>33</v>
      </c>
      <c r="C22" s="2" t="s">
        <v>34</v>
      </c>
      <c r="D22" s="5">
        <v>0.37</v>
      </c>
      <c r="E22" s="5">
        <f t="shared" si="1"/>
        <v>0.3145</v>
      </c>
      <c r="F22" s="4" t="s">
        <v>0</v>
      </c>
      <c r="G22" s="3">
        <f>F17</f>
        <v>1.2</v>
      </c>
      <c r="H22" s="4">
        <f t="shared" si="2"/>
        <v>0.37740000000000001</v>
      </c>
    </row>
    <row r="23" spans="1:8" x14ac:dyDescent="0.25">
      <c r="A23" s="84"/>
      <c r="B23" s="73">
        <f>IF($C$20="Lamella 15 mm",Dati!$B$41,IF($C$20="Lamella 15 mm perf",Dati!$B$41,Dati!$B$40))</f>
        <v>920</v>
      </c>
      <c r="C23" s="74" t="str">
        <f>IF($C$20="Lamella 15 mm",Dati!$A$41,IF($C$20="Lamella 15 mm perf",Dati!$A$41,Dati!$A$40))</f>
        <v>Terilene 25 mm</v>
      </c>
      <c r="D23" s="75">
        <f>IF($C$20="Lamella 15 mm",Dati!$C$41,IF($C$20="Lamella 15 mm perf",Dati!$C$41,Dati!$C$40))</f>
        <v>7.0000000000000007E-2</v>
      </c>
      <c r="E23" s="5">
        <f t="shared" si="1"/>
        <v>5.9500000000000004E-2</v>
      </c>
      <c r="F23" s="4" t="s">
        <v>0</v>
      </c>
      <c r="G23" s="3">
        <f>G26*G17</f>
        <v>3.5999999999999996</v>
      </c>
      <c r="H23" s="4">
        <f t="shared" si="2"/>
        <v>0.2142</v>
      </c>
    </row>
    <row r="24" spans="1:8" x14ac:dyDescent="0.25">
      <c r="A24" s="84"/>
      <c r="B24" s="9">
        <v>921</v>
      </c>
      <c r="C24" s="2" t="s">
        <v>2</v>
      </c>
      <c r="D24" s="5">
        <v>4.4999999999999998E-2</v>
      </c>
      <c r="E24" s="5">
        <f t="shared" si="1"/>
        <v>3.8249999999999999E-2</v>
      </c>
      <c r="F24" s="4" t="s">
        <v>0</v>
      </c>
      <c r="G24" s="3">
        <f>G17*G26+F17</f>
        <v>4.8</v>
      </c>
      <c r="H24" s="4">
        <f t="shared" si="2"/>
        <v>0.18359999999999999</v>
      </c>
    </row>
    <row r="25" spans="1:8" x14ac:dyDescent="0.25">
      <c r="A25" s="84"/>
      <c r="B25" s="9" t="s">
        <v>196</v>
      </c>
      <c r="C25" s="2" t="s">
        <v>125</v>
      </c>
      <c r="D25" s="5">
        <v>4</v>
      </c>
      <c r="E25" s="5">
        <f t="shared" si="1"/>
        <v>3.4</v>
      </c>
      <c r="F25" s="4" t="s">
        <v>4</v>
      </c>
      <c r="G25" s="3">
        <v>1</v>
      </c>
      <c r="H25" s="4">
        <f t="shared" si="2"/>
        <v>3.4</v>
      </c>
    </row>
    <row r="26" spans="1:8" x14ac:dyDescent="0.25">
      <c r="A26" s="84"/>
      <c r="B26" s="9">
        <v>902</v>
      </c>
      <c r="C26" s="2" t="s">
        <v>5</v>
      </c>
      <c r="D26" s="5">
        <v>0.11</v>
      </c>
      <c r="E26" s="5">
        <f t="shared" si="1"/>
        <v>9.35E-2</v>
      </c>
      <c r="F26" s="4" t="s">
        <v>4</v>
      </c>
      <c r="G26" s="9">
        <f>IF($F$17&lt;(0.86-0.21*ISNUMBER(FIND("15",$C$20))),2,IF($F$17&lt;(1.44-0.35*ISNUMBER(FIND("15",$C$20))),3,IF($F$17&lt;(2.1-0.6*ISNUMBER(FIND("15",$C$20))),4,IF($F$17&lt;(2.3-0.4*ISNUMBER(FIND("15",$C$20))),5,IF($F$17&lt;=(2.6-0.4*ISNUMBER(FIND("15",$C$20))),6,IF($F$17&gt;(2.6-0.4*ISNUMBER(FIND("15",$C$20))),7))))))</f>
        <v>3</v>
      </c>
      <c r="H26" s="4">
        <f t="shared" si="2"/>
        <v>0.28049999999999997</v>
      </c>
    </row>
    <row r="27" spans="1:8" x14ac:dyDescent="0.25">
      <c r="A27" s="84"/>
      <c r="B27" s="9">
        <v>905</v>
      </c>
      <c r="C27" s="2" t="s">
        <v>6</v>
      </c>
      <c r="D27" s="5">
        <v>3.5000000000000003E-2</v>
      </c>
      <c r="E27" s="5">
        <f t="shared" si="1"/>
        <v>2.9750000000000002E-2</v>
      </c>
      <c r="F27" s="4" t="s">
        <v>4</v>
      </c>
      <c r="G27" s="9">
        <f>IF($F$17&lt;(0.86-0.21*ISNUMBER(FIND("15",$C$20))),2,IF($F$17&lt;(1.44-0.35*ISNUMBER(FIND("15",$C$20))),3,IF($F$17&lt;(2.1-0.6*ISNUMBER(FIND("15",$C$20))),4,IF($F$17&lt;(2.3-0.4*ISNUMBER(FIND("15",$C$20))),5,IF($F$17&lt;=(2.6-0.4*ISNUMBER(FIND("15",$C$20))),6,IF($F$17&gt;(2.6-0.4*ISNUMBER(FIND("15",$C$20))),7))))))</f>
        <v>3</v>
      </c>
      <c r="H27" s="4">
        <f t="shared" si="2"/>
        <v>8.925000000000001E-2</v>
      </c>
    </row>
    <row r="28" spans="1:8" x14ac:dyDescent="0.25">
      <c r="A28" s="84"/>
      <c r="B28" s="36" t="str">
        <f>IFERROR(VLOOKUP(C28,Dati!$A$46:$C$47,2,FALSE),"")</f>
        <v>910/C</v>
      </c>
      <c r="C28" s="79" t="s">
        <v>236</v>
      </c>
      <c r="D28" s="5">
        <f>IFERROR(VLOOKUP(C28,Dati!$A$46:$C$47,3,FALSE),"")</f>
        <v>0.06</v>
      </c>
      <c r="E28" s="5">
        <f t="shared" si="1"/>
        <v>5.0999999999999997E-2</v>
      </c>
      <c r="F28" s="4" t="s">
        <v>4</v>
      </c>
      <c r="G28" s="9">
        <f>IF($F$17&lt;(0.86-0.21*ISNUMBER(FIND("15",$C$20))),2,IF($F$17&lt;(1.44-0.35*ISNUMBER(FIND("15",$C$20))),3,IF($F$17&lt;(2.1-0.6*ISNUMBER(FIND("15",$C$20))),4,IF($F$17&lt;(2.3-0.4*ISNUMBER(FIND("15",$C$20))),5,IF($F$17&lt;=(2.6-0.4*ISNUMBER(FIND("15",$C$20))),6,IF($F$17&gt;(2.6-0.4*ISNUMBER(FIND("15",$C$20))),7))))))</f>
        <v>3</v>
      </c>
      <c r="H28" s="4">
        <f t="shared" si="2"/>
        <v>0.153</v>
      </c>
    </row>
    <row r="29" spans="1:8" x14ac:dyDescent="0.25">
      <c r="A29" s="84"/>
      <c r="B29" s="9" t="str">
        <f>IFERROR(VLOOKUP(C29,Dati!$A$49:$C$50,2,FALSE),"")</f>
        <v>911/C</v>
      </c>
      <c r="C29" s="79" t="s">
        <v>240</v>
      </c>
      <c r="D29" s="5">
        <f>IFERROR(VLOOKUP(C29,Dati!$A$49:$C$50,3,FALSE),"")</f>
        <v>0.09</v>
      </c>
      <c r="E29" s="5">
        <f t="shared" si="1"/>
        <v>7.6499999999999999E-2</v>
      </c>
      <c r="F29" s="4" t="s">
        <v>4</v>
      </c>
      <c r="G29" s="6">
        <v>2</v>
      </c>
      <c r="H29" s="4">
        <f t="shared" si="2"/>
        <v>0.153</v>
      </c>
    </row>
    <row r="30" spans="1:8" x14ac:dyDescent="0.25">
      <c r="A30" s="84"/>
      <c r="B30" s="36">
        <f>IFERROR(VLOOKUP(C30,Dati!$A$28:$C$30,2,FALSE),"")</f>
        <v>922</v>
      </c>
      <c r="C30" s="66" t="s">
        <v>87</v>
      </c>
      <c r="D30" s="5">
        <f>IFERROR(VLOOKUP(C30,Dati!$A$28:$C$30,3,FALSE),"")</f>
        <v>0.21</v>
      </c>
      <c r="E30" s="5">
        <f t="shared" si="1"/>
        <v>0.17849999999999999</v>
      </c>
      <c r="F30" s="4" t="s">
        <v>4</v>
      </c>
      <c r="G30" s="6">
        <f>IF(F17&lt;1.6,2,IF(F17&lt;=2.5,3,IF(F17&gt;2.501,4)))</f>
        <v>2</v>
      </c>
      <c r="H30" s="4">
        <f t="shared" si="2"/>
        <v>0.35699999999999998</v>
      </c>
    </row>
    <row r="31" spans="1:8" x14ac:dyDescent="0.25">
      <c r="A31" s="84"/>
      <c r="B31" s="9" t="str">
        <f>IFERROR(VLOOKUP(C31,Dati!$A$52:$C$53,2,FALSE),"")</f>
        <v>924/C</v>
      </c>
      <c r="C31" s="79" t="s">
        <v>241</v>
      </c>
      <c r="D31" s="5">
        <f>IFERROR(VLOOKUP(C31,Dati!$A$52:$C$53,3,FALSE),"")</f>
        <v>0.1</v>
      </c>
      <c r="E31" s="5">
        <f t="shared" si="1"/>
        <v>8.5000000000000006E-2</v>
      </c>
      <c r="F31" s="4" t="s">
        <v>4</v>
      </c>
      <c r="G31" s="6">
        <v>2</v>
      </c>
      <c r="H31" s="24">
        <f t="shared" si="2"/>
        <v>0.17</v>
      </c>
    </row>
    <row r="32" spans="1:8" x14ac:dyDescent="0.25">
      <c r="A32" s="84"/>
      <c r="B32" s="9" t="s">
        <v>32</v>
      </c>
      <c r="C32" s="2" t="s">
        <v>31</v>
      </c>
      <c r="D32" s="5">
        <v>7.0000000000000007E-2</v>
      </c>
      <c r="E32" s="5">
        <f t="shared" si="1"/>
        <v>5.9500000000000004E-2</v>
      </c>
      <c r="F32" s="24" t="s">
        <v>4</v>
      </c>
      <c r="G32" s="6">
        <v>1</v>
      </c>
      <c r="H32" s="24">
        <f t="shared" si="2"/>
        <v>5.9500000000000004E-2</v>
      </c>
    </row>
    <row r="33" spans="1:8" x14ac:dyDescent="0.25">
      <c r="A33" s="84"/>
      <c r="B33" s="9" t="s">
        <v>43</v>
      </c>
      <c r="C33" s="2" t="s">
        <v>44</v>
      </c>
      <c r="D33" s="5">
        <v>0.02</v>
      </c>
      <c r="E33" s="5">
        <f t="shared" si="1"/>
        <v>1.7000000000000001E-2</v>
      </c>
      <c r="F33" s="24" t="s">
        <v>4</v>
      </c>
      <c r="G33" s="9">
        <f>IF($F$17&lt;(0.86-0.21*ISNUMBER(FIND("15",$C$20))),2,IF($F$17&lt;(1.44-0.35*ISNUMBER(FIND("15",$C$20))),3,IF($F$17&lt;(2.1-0.6*ISNUMBER(FIND("15",$C$20))),4,IF($F$17&lt;(2.3-0.4*ISNUMBER(FIND("15",$C$20))),5,IF($F$17&lt;=(2.6-0.4*ISNUMBER(FIND("15",$C$20))),6,IF($F$17&gt;(2.6-0.4*ISNUMBER(FIND("15",$C$20))),7))))))*2</f>
        <v>6</v>
      </c>
      <c r="H33" s="24">
        <f t="shared" si="2"/>
        <v>0.10200000000000001</v>
      </c>
    </row>
    <row r="34" spans="1:8" x14ac:dyDescent="0.25">
      <c r="A34" s="84"/>
      <c r="B34" s="9" t="s">
        <v>197</v>
      </c>
      <c r="C34" s="2" t="s">
        <v>126</v>
      </c>
      <c r="D34" s="5">
        <v>1.57</v>
      </c>
      <c r="E34" s="5">
        <f t="shared" si="1"/>
        <v>1.3345</v>
      </c>
      <c r="F34" s="24" t="s">
        <v>0</v>
      </c>
      <c r="G34" s="3">
        <f>G17</f>
        <v>1.2</v>
      </c>
      <c r="H34" s="24">
        <f t="shared" si="2"/>
        <v>1.6013999999999999</v>
      </c>
    </row>
    <row r="35" spans="1:8" x14ac:dyDescent="0.25">
      <c r="A35" s="84"/>
      <c r="B35" s="9">
        <v>942</v>
      </c>
      <c r="C35" s="2" t="s">
        <v>127</v>
      </c>
      <c r="D35" s="5">
        <v>0.06</v>
      </c>
      <c r="E35" s="5">
        <f t="shared" si="1"/>
        <v>5.0999999999999997E-2</v>
      </c>
      <c r="F35" s="24" t="s">
        <v>4</v>
      </c>
      <c r="G35" s="15">
        <v>1</v>
      </c>
      <c r="H35" s="24">
        <f t="shared" si="2"/>
        <v>5.0999999999999997E-2</v>
      </c>
    </row>
    <row r="36" spans="1:8" x14ac:dyDescent="0.25">
      <c r="A36" s="84"/>
      <c r="B36" s="9">
        <v>916</v>
      </c>
      <c r="C36" s="2" t="s">
        <v>128</v>
      </c>
      <c r="D36" s="5">
        <v>0.04</v>
      </c>
      <c r="E36" s="5">
        <f t="shared" si="1"/>
        <v>3.4000000000000002E-2</v>
      </c>
      <c r="F36" s="24" t="s">
        <v>4</v>
      </c>
      <c r="G36" s="3">
        <v>1</v>
      </c>
      <c r="H36" s="24">
        <f t="shared" si="2"/>
        <v>3.4000000000000002E-2</v>
      </c>
    </row>
    <row r="37" spans="1:8" x14ac:dyDescent="0.25">
      <c r="A37" s="84"/>
      <c r="B37" s="73">
        <f>IF($C$20="Lamella 15 mm",Dati!$B$43,IF($C$20="Lamella 15 mm perf",Dati!$B$43,Dati!$B$44))</f>
        <v>907</v>
      </c>
      <c r="C37" s="74" t="str">
        <f>IF($C$20="Lamella 15 mm",Dati!$A$43,IF($C$20="Lamella 15 mm perf",Dati!$A$43,Dati!$A$44))</f>
        <v>Salvaterilene 25 mm</v>
      </c>
      <c r="D37" s="5">
        <v>2.5000000000000001E-2</v>
      </c>
      <c r="E37" s="5">
        <f t="shared" si="1"/>
        <v>2.1250000000000002E-2</v>
      </c>
      <c r="F37" s="24" t="s">
        <v>4</v>
      </c>
      <c r="G37" s="9">
        <f>IF($F$17&lt;(0.86-0.21*ISNUMBER(FIND("15",$C$20))),2,IF($F$17&lt;(1.44-0.35*ISNUMBER(FIND("15",$C$20))),3,IF($F$17&lt;(2.1-0.6*ISNUMBER(FIND("15",$C$20))),4,IF($F$17&lt;(2.3-0.4*ISNUMBER(FIND("15",$C$20))),5,IF($F$17&lt;=(2.6-0.4*ISNUMBER(FIND("15",$C$20))),6,IF($F$17&gt;(2.6-0.4*ISNUMBER(FIND("15",$C$20))),7))))))</f>
        <v>3</v>
      </c>
      <c r="H37" s="24">
        <f t="shared" si="2"/>
        <v>6.3750000000000001E-2</v>
      </c>
    </row>
    <row r="38" spans="1:8" ht="15.75" thickBot="1" x14ac:dyDescent="0.3">
      <c r="A38" s="84"/>
      <c r="B38" s="2"/>
      <c r="C38" s="2"/>
      <c r="D38" s="3"/>
      <c r="E38" s="5"/>
      <c r="F38" s="116" t="s">
        <v>12</v>
      </c>
      <c r="G38" s="116"/>
      <c r="H38" s="38">
        <f>SUM(H20:H37)</f>
        <v>14.4092</v>
      </c>
    </row>
    <row r="39" spans="1:8" ht="15.75" thickTop="1" x14ac:dyDescent="0.25">
      <c r="A39" s="84"/>
      <c r="B39" s="2"/>
      <c r="C39" s="2"/>
      <c r="D39" s="3"/>
      <c r="E39" s="3"/>
      <c r="F39" s="117" t="s">
        <v>7</v>
      </c>
      <c r="G39" s="117"/>
      <c r="H39" s="7">
        <f>IF(H17&gt;=1,H38/H17,H38*H17)</f>
        <v>10.006388888888889</v>
      </c>
    </row>
    <row r="40" spans="1:8" x14ac:dyDescent="0.25">
      <c r="A40" s="84"/>
      <c r="B40" s="84"/>
      <c r="C40" s="84"/>
      <c r="D40" s="84"/>
      <c r="E40" s="84"/>
      <c r="F40" s="84"/>
      <c r="G40" s="84"/>
      <c r="H40" s="84"/>
    </row>
    <row r="41" spans="1:8" x14ac:dyDescent="0.25">
      <c r="A41" s="84"/>
      <c r="B41" s="84"/>
      <c r="C41" s="84"/>
      <c r="D41" s="84"/>
      <c r="E41" s="84"/>
      <c r="F41" s="113" t="s">
        <v>20</v>
      </c>
      <c r="G41" s="113"/>
      <c r="H41" s="67">
        <v>39</v>
      </c>
    </row>
    <row r="42" spans="1:8" x14ac:dyDescent="0.25">
      <c r="A42" s="84"/>
      <c r="B42" s="84"/>
      <c r="C42" s="84"/>
      <c r="D42" s="84"/>
      <c r="E42" s="84"/>
      <c r="F42" s="113" t="s">
        <v>10</v>
      </c>
      <c r="G42" s="113"/>
      <c r="H42" s="17">
        <f>(H41-H39)/H41</f>
        <v>0.74342592592592593</v>
      </c>
    </row>
    <row r="43" spans="1:8" x14ac:dyDescent="0.25">
      <c r="A43" s="84"/>
      <c r="B43" s="84"/>
      <c r="C43" s="84"/>
      <c r="D43" s="84"/>
      <c r="E43" s="84"/>
      <c r="F43" s="115" t="s">
        <v>186</v>
      </c>
      <c r="G43" s="115"/>
      <c r="H43" s="54">
        <f>IF(H17&lt;D17,H41*D17,H41*H17)</f>
        <v>56.16</v>
      </c>
    </row>
    <row r="44" spans="1:8" x14ac:dyDescent="0.25">
      <c r="A44" s="84"/>
      <c r="B44" s="84"/>
      <c r="C44" s="84"/>
      <c r="D44" s="84"/>
      <c r="E44" s="84"/>
      <c r="F44" s="115" t="s">
        <v>188</v>
      </c>
      <c r="G44" s="115"/>
      <c r="H44" s="55">
        <f>(H43-H38)/H43</f>
        <v>0.74342592592592593</v>
      </c>
    </row>
    <row r="45" spans="1:8" ht="15.75" thickBot="1" x14ac:dyDescent="0.3">
      <c r="A45" s="84"/>
      <c r="B45" s="120" t="s">
        <v>25</v>
      </c>
      <c r="C45" s="120"/>
      <c r="D45" s="84"/>
      <c r="E45" s="84"/>
      <c r="F45" s="84"/>
      <c r="G45" s="84"/>
      <c r="H45" s="84"/>
    </row>
    <row r="46" spans="1:8" x14ac:dyDescent="0.25">
      <c r="A46" s="84"/>
      <c r="B46" s="23"/>
      <c r="C46" s="23"/>
      <c r="D46" s="84"/>
      <c r="E46" s="84"/>
      <c r="F46" s="84"/>
      <c r="G46" s="84"/>
      <c r="H46" s="84"/>
    </row>
    <row r="47" spans="1:8" ht="15.75" thickBot="1" x14ac:dyDescent="0.3">
      <c r="A47" s="84"/>
      <c r="B47" s="20" t="s">
        <v>11</v>
      </c>
      <c r="C47" s="20" t="s">
        <v>16</v>
      </c>
      <c r="D47" s="21" t="s">
        <v>17</v>
      </c>
      <c r="E47" s="21" t="s">
        <v>27</v>
      </c>
      <c r="F47" s="22" t="s">
        <v>18</v>
      </c>
      <c r="G47" s="22" t="s">
        <v>29</v>
      </c>
      <c r="H47" s="21" t="s">
        <v>19</v>
      </c>
    </row>
    <row r="48" spans="1:8" ht="15.75" thickTop="1" x14ac:dyDescent="0.25">
      <c r="A48" s="84"/>
      <c r="B48" s="9">
        <v>918</v>
      </c>
      <c r="C48" s="2" t="s">
        <v>248</v>
      </c>
      <c r="D48" s="5">
        <v>0.11</v>
      </c>
      <c r="E48" s="5">
        <f t="shared" ref="E48:E51" si="3">D48*(1-$E$17/100)</f>
        <v>9.35E-2</v>
      </c>
      <c r="F48" s="4" t="s">
        <v>0</v>
      </c>
      <c r="G48" s="3">
        <f>2*G17+0.2</f>
        <v>2.6</v>
      </c>
      <c r="H48" s="4">
        <f>E48*G48</f>
        <v>0.24310000000000001</v>
      </c>
    </row>
    <row r="49" spans="1:8" x14ac:dyDescent="0.25">
      <c r="A49" s="84"/>
      <c r="B49" s="92">
        <v>913</v>
      </c>
      <c r="C49" s="86" t="s">
        <v>252</v>
      </c>
      <c r="D49" s="93">
        <v>0.15</v>
      </c>
      <c r="E49" s="5">
        <f t="shared" si="3"/>
        <v>0.1275</v>
      </c>
      <c r="F49" s="89" t="s">
        <v>4</v>
      </c>
      <c r="G49" s="88">
        <v>2</v>
      </c>
      <c r="H49" s="89">
        <f t="shared" ref="H49" si="4">E49*G49</f>
        <v>0.255</v>
      </c>
    </row>
    <row r="50" spans="1:8" x14ac:dyDescent="0.25">
      <c r="A50" s="84"/>
      <c r="B50" s="36">
        <f>IFERROR(VLOOKUP(C50,Dati!$A$62:$C$64,2,FALSE),"")</f>
        <v>914</v>
      </c>
      <c r="C50" s="66" t="s">
        <v>89</v>
      </c>
      <c r="D50" s="5">
        <f>IFERROR(VLOOKUP(C50,Dati!$A$62:$C$64,3,FALSE),"")</f>
        <v>0.22</v>
      </c>
      <c r="E50" s="5">
        <f t="shared" si="3"/>
        <v>0.187</v>
      </c>
      <c r="F50" s="4" t="s">
        <v>4</v>
      </c>
      <c r="G50" s="3">
        <v>2</v>
      </c>
      <c r="H50" s="4">
        <f t="shared" ref="H50:H51" si="5">E50*G50</f>
        <v>0.374</v>
      </c>
    </row>
    <row r="51" spans="1:8" x14ac:dyDescent="0.25">
      <c r="A51" s="84"/>
      <c r="B51" s="9" t="str">
        <f>IFERROR(VLOOKUP(C51,Dati!$A$55:$C$56,2,FALSE),"")</f>
        <v>911/OC</v>
      </c>
      <c r="C51" s="79" t="s">
        <v>243</v>
      </c>
      <c r="D51" s="5">
        <f>IFERROR(VLOOKUP(C51,Dati!$A$55:$C$56,3,FALSE),"")</f>
        <v>0.09</v>
      </c>
      <c r="E51" s="5">
        <f t="shared" si="3"/>
        <v>7.6499999999999999E-2</v>
      </c>
      <c r="F51" s="24" t="s">
        <v>4</v>
      </c>
      <c r="G51" s="15">
        <v>2</v>
      </c>
      <c r="H51" s="4">
        <f t="shared" si="5"/>
        <v>0.153</v>
      </c>
    </row>
    <row r="52" spans="1:8" ht="15.75" thickBot="1" x14ac:dyDescent="0.3">
      <c r="A52" s="84"/>
      <c r="B52" s="2"/>
      <c r="C52" s="2"/>
      <c r="D52" s="3"/>
      <c r="E52" s="3"/>
      <c r="F52" s="116" t="s">
        <v>14</v>
      </c>
      <c r="G52" s="116"/>
      <c r="H52" s="38">
        <f>SUM(H48:H51)</f>
        <v>1.0250999999999999</v>
      </c>
    </row>
    <row r="53" spans="1:8" ht="15.75" thickTop="1" x14ac:dyDescent="0.25">
      <c r="A53" s="84"/>
      <c r="B53" s="84"/>
      <c r="C53" s="84"/>
      <c r="D53" s="84"/>
      <c r="E53" s="84"/>
      <c r="F53" s="84"/>
      <c r="G53" s="84"/>
      <c r="H53" s="84"/>
    </row>
    <row r="54" spans="1:8" x14ac:dyDescent="0.25">
      <c r="A54" s="84"/>
      <c r="B54" s="84"/>
      <c r="C54" s="84"/>
      <c r="D54" s="84"/>
      <c r="E54" s="84"/>
      <c r="F54" s="113" t="s">
        <v>28</v>
      </c>
      <c r="G54" s="113"/>
      <c r="H54" s="67">
        <v>1.5</v>
      </c>
    </row>
    <row r="55" spans="1:8" x14ac:dyDescent="0.25">
      <c r="A55" s="84"/>
      <c r="B55" s="84"/>
      <c r="C55" s="84"/>
      <c r="D55" s="84"/>
      <c r="E55" s="84"/>
      <c r="F55" s="113" t="s">
        <v>10</v>
      </c>
      <c r="G55" s="113"/>
      <c r="H55" s="17">
        <f>(H54-H52)/H54</f>
        <v>0.31660000000000005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52:G52"/>
    <mergeCell ref="F54:G54"/>
    <mergeCell ref="F55:G55"/>
    <mergeCell ref="B7:H8"/>
    <mergeCell ref="F38:G38"/>
    <mergeCell ref="F39:G39"/>
    <mergeCell ref="F41:G41"/>
    <mergeCell ref="F42:G42"/>
    <mergeCell ref="B45:C45"/>
    <mergeCell ref="F43:G43"/>
    <mergeCell ref="F44:G44"/>
  </mergeCells>
  <dataValidations count="7">
    <dataValidation type="list" allowBlank="1" showInputMessage="1" showErrorMessage="1" sqref="C50">
      <formula1>Morsettino</formula1>
    </dataValidation>
    <dataValidation type="list" allowBlank="1" showInputMessage="1" showErrorMessage="1" sqref="C30">
      <formula1>Supporto25</formula1>
    </dataValidation>
    <dataValidation type="list" allowBlank="1" showInputMessage="1" showErrorMessage="1" sqref="C20">
      <formula1>Lamella25</formula1>
    </dataValidation>
    <dataValidation type="list" allowBlank="1" showInputMessage="1" showErrorMessage="1" sqref="C51">
      <formula1>Occhiello</formula1>
    </dataValidation>
    <dataValidation type="list" allowBlank="1" showInputMessage="1" showErrorMessage="1" sqref="C29">
      <formula1>TappoSpiaggiale</formula1>
    </dataValidation>
    <dataValidation type="list" allowBlank="1" showInputMessage="1" showErrorMessage="1" sqref="C28">
      <formula1>FermaTerilene</formula1>
    </dataValidation>
    <dataValidation type="list" allowBlank="1" showInputMessage="1" showErrorMessage="1" sqref="C31">
      <formula1>TappoCassonetto</formula1>
    </dataValidation>
  </dataValidations>
  <pageMargins left="0.11811023622047245" right="0.11811023622047245" top="0.11811023622047245" bottom="0" header="0.31496062992125984" footer="0.31496062992125984"/>
  <pageSetup paperSize="9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56"/>
  <sheetViews>
    <sheetView topLeftCell="A16" workbookViewId="0">
      <selection activeCell="D29" sqref="D29"/>
    </sheetView>
  </sheetViews>
  <sheetFormatPr defaultColWidth="8.85546875" defaultRowHeight="15" x14ac:dyDescent="0.25"/>
  <cols>
    <col min="1" max="1" width="3" customWidth="1"/>
    <col min="2" max="2" width="11" customWidth="1"/>
    <col min="3" max="3" width="26" customWidth="1"/>
    <col min="4" max="4" width="10.85546875" customWidth="1"/>
    <col min="5" max="5" width="13.85546875" customWidth="1"/>
    <col min="6" max="6" width="10.140625" customWidth="1"/>
    <col min="7" max="7" width="9.85546875" customWidth="1"/>
    <col min="8" max="8" width="14.7109375" customWidth="1"/>
    <col min="9" max="9" width="4.28515625" customWidth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2" spans="1:12" x14ac:dyDescent="0.25">
      <c r="A2" s="84"/>
      <c r="B2" s="84"/>
      <c r="C2" s="84"/>
      <c r="D2" s="84"/>
      <c r="E2" s="84"/>
      <c r="F2" s="84"/>
      <c r="G2" s="84"/>
      <c r="H2" s="84"/>
    </row>
    <row r="3" spans="1:12" x14ac:dyDescent="0.25">
      <c r="A3" s="84"/>
      <c r="B3" s="84"/>
      <c r="C3" s="84"/>
      <c r="D3" s="84"/>
      <c r="E3" s="84"/>
      <c r="F3" s="84"/>
      <c r="G3" s="84"/>
      <c r="H3" s="84"/>
    </row>
    <row r="4" spans="1:12" x14ac:dyDescent="0.25">
      <c r="A4" s="84"/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x14ac:dyDescent="0.25">
      <c r="A6" s="84"/>
      <c r="B6" s="84"/>
      <c r="C6" s="84"/>
      <c r="D6" s="84"/>
      <c r="E6" s="84"/>
      <c r="F6" s="84"/>
      <c r="G6" s="84"/>
      <c r="H6" s="84"/>
    </row>
    <row r="7" spans="1:12" x14ac:dyDescent="0.25">
      <c r="A7" s="84"/>
      <c r="B7" s="84"/>
      <c r="C7" s="84"/>
      <c r="D7" s="84"/>
      <c r="E7" s="84"/>
      <c r="F7" s="84"/>
      <c r="G7" s="84"/>
      <c r="H7" s="84"/>
    </row>
    <row r="8" spans="1:12" ht="15" customHeight="1" x14ac:dyDescent="0.35">
      <c r="A8" s="84"/>
      <c r="B8" s="107" t="s">
        <v>282</v>
      </c>
      <c r="C8" s="107"/>
      <c r="D8" s="107"/>
      <c r="E8" s="107"/>
      <c r="F8" s="107"/>
      <c r="G8" s="107"/>
      <c r="H8" s="107"/>
      <c r="I8" s="8"/>
    </row>
    <row r="9" spans="1:12" ht="15.75" customHeight="1" thickBot="1" x14ac:dyDescent="0.4">
      <c r="A9" s="84"/>
      <c r="B9" s="108"/>
      <c r="C9" s="108"/>
      <c r="D9" s="108"/>
      <c r="E9" s="108"/>
      <c r="F9" s="108"/>
      <c r="G9" s="108"/>
      <c r="H9" s="108"/>
      <c r="I9" s="8"/>
    </row>
    <row r="10" spans="1:12" ht="15.75" customHeight="1" thickTop="1" x14ac:dyDescent="0.5">
      <c r="A10" s="84"/>
      <c r="B10" s="85"/>
      <c r="C10" s="85"/>
      <c r="D10" s="85"/>
      <c r="E10" s="85"/>
      <c r="F10" s="85"/>
      <c r="G10" s="85"/>
      <c r="H10" s="85"/>
      <c r="I10" s="8"/>
    </row>
    <row r="11" spans="1:12" x14ac:dyDescent="0.25">
      <c r="A11" s="84"/>
      <c r="B11" s="84"/>
      <c r="C11" s="84"/>
      <c r="D11" s="84"/>
      <c r="E11" s="84"/>
      <c r="F11" s="84"/>
      <c r="G11" s="84"/>
      <c r="H11" s="84"/>
    </row>
    <row r="12" spans="1:12" x14ac:dyDescent="0.25">
      <c r="A12" s="84"/>
      <c r="B12" s="12"/>
      <c r="C12" s="87" t="s">
        <v>226</v>
      </c>
      <c r="D12" s="84"/>
      <c r="E12" s="84"/>
      <c r="F12" s="84"/>
      <c r="G12" s="84"/>
      <c r="H12" s="84"/>
      <c r="J12" s="1"/>
    </row>
    <row r="13" spans="1:12" ht="15" customHeight="1" x14ac:dyDescent="0.35">
      <c r="A13" s="84"/>
      <c r="B13" s="30"/>
      <c r="C13" s="87" t="s">
        <v>81</v>
      </c>
      <c r="D13" s="84"/>
      <c r="E13" s="84"/>
      <c r="F13" s="84"/>
      <c r="G13" s="84"/>
      <c r="H13" s="84"/>
      <c r="J13" s="8"/>
      <c r="K13" s="8"/>
      <c r="L13" s="1"/>
    </row>
    <row r="14" spans="1:12" ht="15" customHeight="1" x14ac:dyDescent="0.35">
      <c r="A14" s="84"/>
      <c r="B14" s="31"/>
      <c r="C14" s="87" t="s">
        <v>80</v>
      </c>
      <c r="D14" s="84"/>
      <c r="E14" s="84"/>
      <c r="F14" s="84"/>
      <c r="G14" s="84"/>
      <c r="H14" s="84"/>
      <c r="J14" s="8"/>
      <c r="K14" s="8"/>
      <c r="L14" s="1"/>
    </row>
    <row r="15" spans="1:12" ht="15" customHeight="1" x14ac:dyDescent="0.35">
      <c r="A15" s="84"/>
      <c r="B15" s="29"/>
      <c r="C15" s="87" t="s">
        <v>79</v>
      </c>
      <c r="D15" s="84"/>
      <c r="E15" s="84"/>
      <c r="F15" s="84"/>
      <c r="G15" s="84"/>
      <c r="H15" s="84"/>
      <c r="J15" s="8"/>
      <c r="K15" s="8"/>
      <c r="L15" s="1"/>
    </row>
    <row r="16" spans="1:12" ht="15" customHeight="1" x14ac:dyDescent="0.35">
      <c r="A16" s="84"/>
      <c r="B16" s="56"/>
      <c r="C16" s="87" t="s">
        <v>189</v>
      </c>
      <c r="D16" s="84"/>
      <c r="E16" s="84"/>
      <c r="F16" s="84"/>
      <c r="G16" s="84"/>
      <c r="H16" s="84"/>
      <c r="J16" s="8"/>
      <c r="K16" s="8"/>
      <c r="L16" s="1"/>
    </row>
    <row r="17" spans="1:12" ht="15" customHeight="1" x14ac:dyDescent="0.35">
      <c r="A17" s="84"/>
      <c r="B17" s="102"/>
      <c r="C17" s="87"/>
      <c r="D17" s="84"/>
      <c r="E17" s="84"/>
      <c r="F17" s="84"/>
      <c r="G17" s="84"/>
      <c r="H17" s="84"/>
      <c r="J17" s="8"/>
      <c r="K17" s="8"/>
      <c r="L17" s="1"/>
    </row>
    <row r="18" spans="1:12" x14ac:dyDescent="0.25">
      <c r="A18" s="84"/>
      <c r="B18" s="84"/>
      <c r="C18" s="84"/>
      <c r="D18" s="84"/>
      <c r="E18" s="84"/>
      <c r="F18" s="84"/>
      <c r="G18" s="84"/>
      <c r="H18" s="84"/>
      <c r="I18" s="1"/>
    </row>
    <row r="19" spans="1:12" x14ac:dyDescent="0.25">
      <c r="A19" s="84"/>
      <c r="B19" s="2"/>
      <c r="C19" s="2"/>
      <c r="D19" s="33" t="s">
        <v>187</v>
      </c>
      <c r="E19" s="33" t="s">
        <v>13</v>
      </c>
      <c r="F19" s="33" t="s">
        <v>8</v>
      </c>
      <c r="G19" s="33" t="s">
        <v>9</v>
      </c>
      <c r="H19" s="52" t="s">
        <v>26</v>
      </c>
    </row>
    <row r="20" spans="1:12" x14ac:dyDescent="0.25">
      <c r="A20" s="84"/>
      <c r="B20" s="2"/>
      <c r="C20" s="2"/>
      <c r="D20" s="64">
        <v>1.3</v>
      </c>
      <c r="E20" s="65">
        <v>15</v>
      </c>
      <c r="F20" s="64">
        <v>1.2</v>
      </c>
      <c r="G20" s="64">
        <v>1.2</v>
      </c>
      <c r="H20" s="52">
        <f>G20*F20</f>
        <v>1.44</v>
      </c>
    </row>
    <row r="21" spans="1:12" x14ac:dyDescent="0.25">
      <c r="A21" s="84"/>
      <c r="B21" s="2"/>
      <c r="C21" s="2"/>
      <c r="D21" s="3"/>
      <c r="E21" s="18"/>
      <c r="F21" s="6"/>
      <c r="G21" s="6"/>
      <c r="H21" s="3"/>
    </row>
    <row r="22" spans="1:12" ht="15.75" thickBot="1" x14ac:dyDescent="0.3">
      <c r="A22" s="84"/>
      <c r="B22" s="20" t="s">
        <v>11</v>
      </c>
      <c r="C22" s="20" t="s">
        <v>16</v>
      </c>
      <c r="D22" s="21" t="s">
        <v>17</v>
      </c>
      <c r="E22" s="21" t="s">
        <v>27</v>
      </c>
      <c r="F22" s="22" t="s">
        <v>18</v>
      </c>
      <c r="G22" s="22" t="s">
        <v>29</v>
      </c>
      <c r="H22" s="21" t="s">
        <v>19</v>
      </c>
    </row>
    <row r="23" spans="1:12" ht="15.75" thickTop="1" x14ac:dyDescent="0.25">
      <c r="A23" s="84"/>
      <c r="B23" s="34">
        <f>IFERROR(VLOOKUP(C23,Dati!$A$22:$C$25,2,FALSE),"")</f>
        <v>25</v>
      </c>
      <c r="C23" s="68" t="s">
        <v>39</v>
      </c>
      <c r="D23" s="19">
        <f>IFERROR(VLOOKUP(C23,Dati!$A$22:$C$25,3,FALSE),"")</f>
        <v>8.7999999999999995E-2</v>
      </c>
      <c r="E23" s="19">
        <f t="shared" ref="E23:E35" si="0">D23*(1-$E$20/100)</f>
        <v>7.4799999999999991E-2</v>
      </c>
      <c r="F23" s="11" t="s">
        <v>0</v>
      </c>
      <c r="G23" s="10">
        <f>(50+30*ISNUMBER(FIND(15,C23)))*F20*G20</f>
        <v>72</v>
      </c>
      <c r="H23" s="11">
        <f>E23*G23</f>
        <v>5.3855999999999993</v>
      </c>
    </row>
    <row r="24" spans="1:12" x14ac:dyDescent="0.25">
      <c r="A24" s="84"/>
      <c r="B24" s="9" t="s">
        <v>48</v>
      </c>
      <c r="C24" s="80" t="s">
        <v>214</v>
      </c>
      <c r="D24" s="4">
        <v>1.7</v>
      </c>
      <c r="E24" s="5">
        <f t="shared" si="0"/>
        <v>1.4449999999999998</v>
      </c>
      <c r="F24" s="4" t="s">
        <v>0</v>
      </c>
      <c r="G24" s="3">
        <f>F20</f>
        <v>1.2</v>
      </c>
      <c r="H24" s="4">
        <f t="shared" ref="H24:H35" si="1">E24*G24</f>
        <v>1.7339999999999998</v>
      </c>
    </row>
    <row r="25" spans="1:12" x14ac:dyDescent="0.25">
      <c r="A25" s="84"/>
      <c r="B25" s="9" t="s">
        <v>56</v>
      </c>
      <c r="C25" s="2" t="s">
        <v>30</v>
      </c>
      <c r="D25" s="5">
        <v>0.37</v>
      </c>
      <c r="E25" s="5">
        <f t="shared" si="0"/>
        <v>0.3145</v>
      </c>
      <c r="F25" s="4" t="s">
        <v>0</v>
      </c>
      <c r="G25" s="3">
        <f>F20</f>
        <v>1.2</v>
      </c>
      <c r="H25" s="4">
        <f t="shared" si="1"/>
        <v>0.37740000000000001</v>
      </c>
    </row>
    <row r="26" spans="1:12" x14ac:dyDescent="0.25">
      <c r="A26" s="84"/>
      <c r="B26" s="73">
        <f>IF($C$23="Lamella 15 mm",Dati!$B$41,IF($C$23="Lamella 15 mm perf",Dati!$B$41,Dati!$B$40))</f>
        <v>920</v>
      </c>
      <c r="C26" s="74" t="str">
        <f>IF($C$23="Lamella 15 mm",Dati!$A$41,IF($C$23="Lamella 15 mm perf",Dati!$A$41,Dati!$A$40))</f>
        <v>Terilene 25 mm</v>
      </c>
      <c r="D26" s="75">
        <f>IF($C$23="Lamella 15 mm",Dati!$C$41,IF($C$23="Lamella 15 mm perf",Dati!$C$41,Dati!$C$40))</f>
        <v>7.0000000000000007E-2</v>
      </c>
      <c r="E26" s="5">
        <f t="shared" si="0"/>
        <v>5.9500000000000004E-2</v>
      </c>
      <c r="F26" s="4" t="s">
        <v>0</v>
      </c>
      <c r="G26" s="3">
        <f>G29*G20</f>
        <v>3.5999999999999996</v>
      </c>
      <c r="H26" s="4">
        <f t="shared" si="1"/>
        <v>0.2142</v>
      </c>
    </row>
    <row r="27" spans="1:12" x14ac:dyDescent="0.25">
      <c r="A27" s="84"/>
      <c r="B27" s="9">
        <v>1021</v>
      </c>
      <c r="C27" s="2" t="s">
        <v>2</v>
      </c>
      <c r="D27" s="5">
        <v>4.4999999999999998E-2</v>
      </c>
      <c r="E27" s="5">
        <f t="shared" si="0"/>
        <v>3.8249999999999999E-2</v>
      </c>
      <c r="F27" s="4" t="s">
        <v>0</v>
      </c>
      <c r="G27" s="3">
        <f>G29*G20+F20</f>
        <v>4.8</v>
      </c>
      <c r="H27" s="4">
        <f t="shared" si="1"/>
        <v>0.18359999999999999</v>
      </c>
    </row>
    <row r="28" spans="1:12" x14ac:dyDescent="0.25">
      <c r="A28" s="84"/>
      <c r="B28" s="34" t="s">
        <v>58</v>
      </c>
      <c r="C28" s="101" t="s">
        <v>92</v>
      </c>
      <c r="D28" s="5">
        <v>4</v>
      </c>
      <c r="E28" s="5">
        <f t="shared" si="0"/>
        <v>3.4</v>
      </c>
      <c r="F28" s="4" t="s">
        <v>4</v>
      </c>
      <c r="G28" s="3">
        <v>1</v>
      </c>
      <c r="H28" s="4">
        <f t="shared" si="1"/>
        <v>3.4</v>
      </c>
    </row>
    <row r="29" spans="1:12" x14ac:dyDescent="0.25">
      <c r="A29" s="84"/>
      <c r="B29" s="9" t="s">
        <v>59</v>
      </c>
      <c r="C29" s="2" t="s">
        <v>60</v>
      </c>
      <c r="D29" s="5">
        <v>3.1</v>
      </c>
      <c r="E29" s="5">
        <f t="shared" si="0"/>
        <v>2.6349999999999998</v>
      </c>
      <c r="F29" s="4" t="s">
        <v>4</v>
      </c>
      <c r="G29" s="3">
        <f>IF($F$20&lt;(0.86-0.21*ISNUMBER(FIND("15",$C$23))),2,IF($F$20&lt;(1.44-0.25*ISNUMBER(FIND("15",$C$23))),3,IF($F$20&lt;(2.1-0.6*ISNUMBER(FIND("15",$C$23))),4,IF($F$20&lt;(2.3-0.4*ISNUMBER(FIND("15",$C$23))),5,IF($F$20&lt;=(2.6-0.4*ISNUMBER(FIND("15",$C$23))),6,IF($F$20&gt;(2.6-0.4*ISNUMBER(FIND("15",$C$23))),7))))))</f>
        <v>3</v>
      </c>
      <c r="H29" s="4">
        <f t="shared" si="1"/>
        <v>7.9049999999999994</v>
      </c>
    </row>
    <row r="30" spans="1:12" x14ac:dyDescent="0.25">
      <c r="A30" s="84"/>
      <c r="B30" s="36" t="str">
        <f>IFERROR(VLOOKUP(C30,Dati!$A$73:$C$77,2,FALSE),"")</f>
        <v>C6/10</v>
      </c>
      <c r="C30" s="83" t="s">
        <v>277</v>
      </c>
      <c r="D30" s="5">
        <f>IFERROR(VLOOKUP(C30,Dati!$A$73:$C$77,3,FALSE),"")</f>
        <v>1</v>
      </c>
      <c r="E30" s="5">
        <f t="shared" si="0"/>
        <v>0.85</v>
      </c>
      <c r="F30" s="4" t="s">
        <v>0</v>
      </c>
      <c r="G30" s="3">
        <f>G20*2</f>
        <v>2.4</v>
      </c>
      <c r="H30" s="4">
        <f t="shared" si="1"/>
        <v>2.04</v>
      </c>
    </row>
    <row r="31" spans="1:12" x14ac:dyDescent="0.25">
      <c r="A31" s="84"/>
      <c r="B31" s="36">
        <f>IFERROR(VLOOKUP(C31,Dati!$A$46:$C$47,2,FALSE),"")</f>
        <v>910</v>
      </c>
      <c r="C31" s="79" t="s">
        <v>235</v>
      </c>
      <c r="D31" s="5">
        <f>IFERROR(VLOOKUP(C31,Dati!$A$46:$C$47,3,FALSE),"")</f>
        <v>0.03</v>
      </c>
      <c r="E31" s="5">
        <f t="shared" si="0"/>
        <v>2.5499999999999998E-2</v>
      </c>
      <c r="F31" s="4" t="s">
        <v>4</v>
      </c>
      <c r="G31" s="3">
        <f>IF($F$20&lt;(0.86-0.21*ISNUMBER(FIND("15",$C$23))),2,IF($F$20&lt;(1.44-0.25*ISNUMBER(FIND("15",$C$23))),3,IF($F$20&lt;(2.1-0.6*ISNUMBER(FIND("15",$C$23))),4,IF($F$20&lt;(2.3-0.4*ISNUMBER(FIND("15",$C$23))),5,IF($F$20&lt;=(2.6-0.4*ISNUMBER(FIND("15",$C$23))),6,IF($F$20&gt;(2.6-0.4*ISNUMBER(FIND("15",$C$23))),7))))))</f>
        <v>3</v>
      </c>
      <c r="H31" s="4">
        <f t="shared" si="1"/>
        <v>7.6499999999999999E-2</v>
      </c>
    </row>
    <row r="32" spans="1:12" x14ac:dyDescent="0.25">
      <c r="A32" s="84"/>
      <c r="B32" s="9">
        <f>IFERROR(VLOOKUP(C32,Dati!$A$49:$C$50,2,FALSE),"")</f>
        <v>911</v>
      </c>
      <c r="C32" s="79" t="s">
        <v>239</v>
      </c>
      <c r="D32" s="5">
        <f>IFERROR(VLOOKUP(C32,Dati!$A$49:$C$50,3,FALSE),"")</f>
        <v>0.05</v>
      </c>
      <c r="E32" s="5">
        <f t="shared" si="0"/>
        <v>4.2500000000000003E-2</v>
      </c>
      <c r="F32" s="4" t="s">
        <v>4</v>
      </c>
      <c r="G32" s="3">
        <v>2</v>
      </c>
      <c r="H32" s="4">
        <f t="shared" si="1"/>
        <v>8.5000000000000006E-2</v>
      </c>
    </row>
    <row r="33" spans="1:9" x14ac:dyDescent="0.25">
      <c r="A33" s="84"/>
      <c r="B33" s="9">
        <v>217</v>
      </c>
      <c r="C33" s="2" t="s">
        <v>57</v>
      </c>
      <c r="D33" s="5">
        <v>0.26</v>
      </c>
      <c r="E33" s="5">
        <f t="shared" si="0"/>
        <v>0.221</v>
      </c>
      <c r="F33" s="4" t="s">
        <v>4</v>
      </c>
      <c r="G33" s="3">
        <v>1</v>
      </c>
      <c r="H33" s="4">
        <f t="shared" si="1"/>
        <v>0.221</v>
      </c>
    </row>
    <row r="34" spans="1:9" x14ac:dyDescent="0.25">
      <c r="A34" s="84"/>
      <c r="B34" s="36">
        <f>IFERROR(VLOOKUP(C34,Dati!$A$28:$C$29,2,FALSE),"")</f>
        <v>922</v>
      </c>
      <c r="C34" s="66" t="s">
        <v>87</v>
      </c>
      <c r="D34" s="5">
        <f>IFERROR(VLOOKUP(C34,Dati!$A$28:$C$29,3,FALSE),"")</f>
        <v>0.21</v>
      </c>
      <c r="E34" s="5">
        <f t="shared" si="0"/>
        <v>0.17849999999999999</v>
      </c>
      <c r="F34" s="4" t="s">
        <v>4</v>
      </c>
      <c r="G34" s="3">
        <f>IF(F20&lt;1.6,2,IF(F20&lt;=2.5,3,IF(F20&gt;2.501,4)))</f>
        <v>2</v>
      </c>
      <c r="H34" s="4">
        <f t="shared" si="1"/>
        <v>0.35699999999999998</v>
      </c>
    </row>
    <row r="35" spans="1:9" x14ac:dyDescent="0.25">
      <c r="A35" s="84"/>
      <c r="B35" s="9">
        <f>IFERROR(VLOOKUP(C35,Dati!$A$52:$C$53,2,FALSE),"")</f>
        <v>924</v>
      </c>
      <c r="C35" s="79" t="s">
        <v>247</v>
      </c>
      <c r="D35" s="5">
        <f>IFERROR(VLOOKUP(C35,Dati!$A$52:$C$53,3,FALSE),"")</f>
        <v>0.03</v>
      </c>
      <c r="E35" s="5">
        <f t="shared" si="0"/>
        <v>2.5499999999999998E-2</v>
      </c>
      <c r="F35" s="4" t="s">
        <v>4</v>
      </c>
      <c r="G35" s="15">
        <v>2</v>
      </c>
      <c r="H35" s="24">
        <f t="shared" si="1"/>
        <v>5.0999999999999997E-2</v>
      </c>
    </row>
    <row r="36" spans="1:9" ht="15.75" thickBot="1" x14ac:dyDescent="0.3">
      <c r="A36" s="84"/>
      <c r="B36" s="2"/>
      <c r="C36" s="2"/>
      <c r="D36" s="3"/>
      <c r="E36" s="5"/>
      <c r="F36" s="116" t="s">
        <v>12</v>
      </c>
      <c r="G36" s="116"/>
      <c r="H36" s="16">
        <f>SUM(H23:H35)</f>
        <v>22.030299999999993</v>
      </c>
    </row>
    <row r="37" spans="1:9" ht="15.75" thickTop="1" x14ac:dyDescent="0.25">
      <c r="A37" s="84"/>
      <c r="B37" s="2"/>
      <c r="C37" s="2"/>
      <c r="D37" s="3"/>
      <c r="E37" s="3"/>
      <c r="F37" s="117" t="s">
        <v>7</v>
      </c>
      <c r="G37" s="117"/>
      <c r="H37" s="7">
        <f>IF(H20&gt;=1,H36/H20,H36*H20)</f>
        <v>15.29881944444444</v>
      </c>
    </row>
    <row r="38" spans="1:9" x14ac:dyDescent="0.25">
      <c r="A38" s="84"/>
      <c r="B38" s="84"/>
      <c r="C38" s="84"/>
      <c r="D38" s="84"/>
      <c r="E38" s="84"/>
      <c r="F38" s="84"/>
      <c r="G38" s="84"/>
      <c r="H38" s="84"/>
    </row>
    <row r="39" spans="1:9" x14ac:dyDescent="0.25">
      <c r="A39" s="84"/>
      <c r="B39" s="84"/>
      <c r="C39" s="84"/>
      <c r="D39" s="84"/>
      <c r="E39" s="84"/>
      <c r="F39" s="113" t="s">
        <v>20</v>
      </c>
      <c r="G39" s="113"/>
      <c r="H39" s="67">
        <v>39</v>
      </c>
    </row>
    <row r="40" spans="1:9" x14ac:dyDescent="0.25">
      <c r="A40" s="84"/>
      <c r="B40" s="84"/>
      <c r="C40" s="84"/>
      <c r="D40" s="84"/>
      <c r="E40" s="84"/>
      <c r="F40" s="113" t="s">
        <v>10</v>
      </c>
      <c r="G40" s="113"/>
      <c r="H40" s="17">
        <f>(H39-H37)/H39</f>
        <v>0.60772257834757848</v>
      </c>
    </row>
    <row r="41" spans="1:9" x14ac:dyDescent="0.25">
      <c r="A41" s="84"/>
      <c r="B41" s="84"/>
      <c r="C41" s="84"/>
      <c r="D41" s="84"/>
      <c r="E41" s="84"/>
      <c r="F41" s="115" t="s">
        <v>186</v>
      </c>
      <c r="G41" s="115"/>
      <c r="H41" s="54">
        <f>IF(H20&lt;D20,H39*D20,H39*H20)</f>
        <v>56.16</v>
      </c>
    </row>
    <row r="42" spans="1:9" x14ac:dyDescent="0.25">
      <c r="A42" s="84"/>
      <c r="B42" s="84"/>
      <c r="C42" s="84"/>
      <c r="D42" s="84"/>
      <c r="E42" s="84"/>
      <c r="F42" s="115" t="s">
        <v>188</v>
      </c>
      <c r="G42" s="115"/>
      <c r="H42" s="55">
        <f>(H41-H36)/H41</f>
        <v>0.60772257834757837</v>
      </c>
      <c r="I42" s="13"/>
    </row>
    <row r="43" spans="1:9" ht="15.75" thickBot="1" x14ac:dyDescent="0.3">
      <c r="A43" s="84"/>
      <c r="B43" s="114" t="s">
        <v>25</v>
      </c>
      <c r="C43" s="114"/>
      <c r="D43" s="84"/>
      <c r="E43" s="84"/>
      <c r="F43" s="84"/>
      <c r="G43" s="84"/>
      <c r="H43" s="84"/>
    </row>
    <row r="44" spans="1:9" x14ac:dyDescent="0.25">
      <c r="A44" s="84"/>
      <c r="B44" s="100"/>
      <c r="C44" s="100"/>
      <c r="D44" s="84"/>
      <c r="E44" s="84"/>
      <c r="F44" s="84"/>
      <c r="G44" s="84"/>
      <c r="H44" s="84"/>
    </row>
    <row r="45" spans="1:9" ht="15.75" thickBot="1" x14ac:dyDescent="0.3">
      <c r="A45" s="84"/>
      <c r="B45" s="20" t="s">
        <v>11</v>
      </c>
      <c r="C45" s="20" t="s">
        <v>16</v>
      </c>
      <c r="D45" s="21" t="s">
        <v>17</v>
      </c>
      <c r="E45" s="21" t="s">
        <v>27</v>
      </c>
      <c r="F45" s="22" t="s">
        <v>18</v>
      </c>
      <c r="G45" s="22" t="s">
        <v>29</v>
      </c>
      <c r="H45" s="21" t="s">
        <v>19</v>
      </c>
    </row>
    <row r="46" spans="1:9" ht="15.75" thickTop="1" x14ac:dyDescent="0.25">
      <c r="A46" s="84"/>
      <c r="B46" s="9">
        <v>918</v>
      </c>
      <c r="C46" s="2" t="s">
        <v>248</v>
      </c>
      <c r="D46" s="5">
        <v>0.11</v>
      </c>
      <c r="E46" s="5">
        <f t="shared" ref="E46:E49" si="2">D46*(1-$E$20/100)</f>
        <v>9.35E-2</v>
      </c>
      <c r="F46" s="4" t="s">
        <v>0</v>
      </c>
      <c r="G46" s="3">
        <f>2*G20+0.2</f>
        <v>2.6</v>
      </c>
      <c r="H46" s="4">
        <f t="shared" ref="H46:H49" si="3">E46*G46</f>
        <v>0.24310000000000001</v>
      </c>
    </row>
    <row r="47" spans="1:9" x14ac:dyDescent="0.25">
      <c r="A47" s="84"/>
      <c r="B47" s="92">
        <v>913</v>
      </c>
      <c r="C47" s="86" t="s">
        <v>252</v>
      </c>
      <c r="D47" s="93">
        <v>0.15</v>
      </c>
      <c r="E47" s="5">
        <f t="shared" si="2"/>
        <v>0.1275</v>
      </c>
      <c r="F47" s="89" t="s">
        <v>4</v>
      </c>
      <c r="G47" s="88">
        <v>2</v>
      </c>
      <c r="H47" s="89">
        <f t="shared" si="3"/>
        <v>0.255</v>
      </c>
    </row>
    <row r="48" spans="1:9" x14ac:dyDescent="0.25">
      <c r="A48" s="84"/>
      <c r="B48" s="36">
        <f>IFERROR(VLOOKUP(C48,Dati!$A$62:$C$64,2,FALSE),"")</f>
        <v>914</v>
      </c>
      <c r="C48" s="66" t="s">
        <v>89</v>
      </c>
      <c r="D48" s="5">
        <f>IFERROR(VLOOKUP(C48,Dati!$A$62:$C$64,3,FALSE),"")</f>
        <v>0.22</v>
      </c>
      <c r="E48" s="5">
        <f t="shared" si="2"/>
        <v>0.187</v>
      </c>
      <c r="F48" s="4" t="s">
        <v>4</v>
      </c>
      <c r="G48" s="3">
        <v>2</v>
      </c>
      <c r="H48" s="4">
        <f t="shared" si="3"/>
        <v>0.374</v>
      </c>
    </row>
    <row r="49" spans="1:8" x14ac:dyDescent="0.25">
      <c r="A49" s="84"/>
      <c r="B49" s="9" t="str">
        <f>IFERROR(VLOOKUP(C49,Dati!$A$55:$C$56,2,FALSE),"")</f>
        <v>911/OC</v>
      </c>
      <c r="C49" s="79" t="s">
        <v>243</v>
      </c>
      <c r="D49" s="5">
        <f>IFERROR(VLOOKUP(C49,Dati!$A$55:$C$56,3,FALSE),"")</f>
        <v>0.09</v>
      </c>
      <c r="E49" s="5">
        <f t="shared" si="2"/>
        <v>7.6499999999999999E-2</v>
      </c>
      <c r="F49" s="24" t="s">
        <v>4</v>
      </c>
      <c r="G49" s="15">
        <v>2</v>
      </c>
      <c r="H49" s="4">
        <f t="shared" si="3"/>
        <v>0.153</v>
      </c>
    </row>
    <row r="50" spans="1:8" ht="15.75" thickBot="1" x14ac:dyDescent="0.3">
      <c r="A50" s="84"/>
      <c r="B50" s="2"/>
      <c r="C50" s="2"/>
      <c r="D50" s="3"/>
      <c r="E50" s="3"/>
      <c r="F50" s="116" t="s">
        <v>14</v>
      </c>
      <c r="G50" s="116"/>
      <c r="H50" s="16">
        <f>SUM(H46:H49)</f>
        <v>1.0250999999999999</v>
      </c>
    </row>
    <row r="51" spans="1:8" ht="15.75" thickTop="1" x14ac:dyDescent="0.25">
      <c r="A51" s="84"/>
      <c r="B51" s="84"/>
      <c r="C51" s="84"/>
      <c r="D51" s="84"/>
      <c r="E51" s="84"/>
      <c r="F51" s="84"/>
      <c r="G51" s="84"/>
      <c r="H51" s="84"/>
    </row>
    <row r="52" spans="1:8" x14ac:dyDescent="0.25">
      <c r="A52" s="84"/>
      <c r="B52" s="84"/>
      <c r="C52" s="84"/>
      <c r="D52" s="84"/>
      <c r="E52" s="84"/>
      <c r="F52" s="113" t="s">
        <v>28</v>
      </c>
      <c r="G52" s="113"/>
      <c r="H52" s="67">
        <v>1.5</v>
      </c>
    </row>
    <row r="53" spans="1:8" x14ac:dyDescent="0.25">
      <c r="A53" s="84"/>
      <c r="B53" s="84"/>
      <c r="C53" s="84"/>
      <c r="D53" s="84"/>
      <c r="E53" s="84"/>
      <c r="F53" s="113" t="s">
        <v>10</v>
      </c>
      <c r="G53" s="113"/>
      <c r="H53" s="17">
        <f>(H52-H50)/H52</f>
        <v>0.31660000000000005</v>
      </c>
    </row>
    <row r="54" spans="1:8" x14ac:dyDescent="0.25">
      <c r="A54" s="84"/>
      <c r="B54" s="84"/>
      <c r="C54" s="84"/>
      <c r="D54" s="84"/>
      <c r="E54" s="84"/>
      <c r="F54" s="84"/>
      <c r="G54" s="84"/>
      <c r="H54" s="84"/>
    </row>
    <row r="55" spans="1:8" x14ac:dyDescent="0.25">
      <c r="A55" s="84"/>
      <c r="B55" s="84"/>
      <c r="C55" s="84"/>
      <c r="D55" s="84"/>
      <c r="E55" s="84"/>
      <c r="F55" s="84"/>
      <c r="G55" s="84"/>
      <c r="H55" s="84"/>
    </row>
    <row r="56" spans="1:8" x14ac:dyDescent="0.25">
      <c r="A56" s="84"/>
      <c r="B56" s="84"/>
      <c r="C56" s="84"/>
      <c r="D56" s="84"/>
      <c r="E56" s="84"/>
      <c r="F56" s="84"/>
      <c r="G56" s="84"/>
      <c r="H56" s="84"/>
    </row>
  </sheetData>
  <sheetProtection formatCells="0" formatColumns="0" formatRows="0" insertColumns="0" insertRows="0" insertHyperlinks="0" deleteColumns="0" deleteRows="0" sort="0" autoFilter="0" pivotTables="0"/>
  <mergeCells count="11">
    <mergeCell ref="F50:G50"/>
    <mergeCell ref="F52:G52"/>
    <mergeCell ref="F53:G53"/>
    <mergeCell ref="B8:H9"/>
    <mergeCell ref="F36:G36"/>
    <mergeCell ref="F37:G37"/>
    <mergeCell ref="F39:G39"/>
    <mergeCell ref="F40:G40"/>
    <mergeCell ref="B43:C43"/>
    <mergeCell ref="F41:G41"/>
    <mergeCell ref="F42:G42"/>
  </mergeCells>
  <dataValidations count="8">
    <dataValidation type="list" allowBlank="1" showInputMessage="1" showErrorMessage="1" sqref="C48">
      <formula1>Morsettino</formula1>
    </dataValidation>
    <dataValidation type="list" allowBlank="1" showInputMessage="1" showErrorMessage="1" sqref="C23">
      <formula1>Lamella25</formula1>
    </dataValidation>
    <dataValidation type="list" allowBlank="1" showInputMessage="1" showErrorMessage="1" sqref="C34">
      <formula1>Supporto25</formula1>
    </dataValidation>
    <dataValidation type="list" allowBlank="1" showInputMessage="1" showErrorMessage="1" sqref="C49">
      <formula1>Occhiello</formula1>
    </dataValidation>
    <dataValidation type="list" allowBlank="1" showInputMessage="1" showErrorMessage="1" sqref="C32">
      <formula1>TappoSpiaggiale</formula1>
    </dataValidation>
    <dataValidation type="list" allowBlank="1" showInputMessage="1" showErrorMessage="1" sqref="C31">
      <formula1>FermaTerilene</formula1>
    </dataValidation>
    <dataValidation type="list" allowBlank="1" showInputMessage="1" showErrorMessage="1" sqref="C35">
      <formula1>TappoCassonetto</formula1>
    </dataValidation>
    <dataValidation type="list" allowBlank="1" showInputMessage="1" showErrorMessage="1" sqref="C30">
      <formula1>Catena</formula1>
    </dataValidation>
  </dataValidations>
  <pageMargins left="0.11811023622047245" right="0.11811023622047245" top="0.11811023622047245" bottom="0" header="0.31496062992125984" footer="0.31496062992125984"/>
  <pageSetup paperSize="9" orientation="portrait" verticalDpi="0" r:id="rId1"/>
  <ignoredErrors>
    <ignoredError sqref="G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3" workbookViewId="0">
      <selection activeCell="H39" sqref="H39"/>
    </sheetView>
  </sheetViews>
  <sheetFormatPr defaultColWidth="8.85546875" defaultRowHeight="15" x14ac:dyDescent="0.25"/>
  <cols>
    <col min="1" max="1" width="1.28515625" customWidth="1"/>
    <col min="2" max="2" width="14.42578125" customWidth="1"/>
    <col min="3" max="3" width="24.85546875" customWidth="1"/>
    <col min="4" max="4" width="10.42578125" customWidth="1"/>
    <col min="5" max="5" width="13.85546875" customWidth="1"/>
    <col min="6" max="6" width="10.140625" customWidth="1"/>
    <col min="7" max="7" width="10.28515625" customWidth="1"/>
    <col min="8" max="8" width="14.7109375" customWidth="1"/>
    <col min="9" max="9" width="4.28515625" customWidth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2" spans="1:12" x14ac:dyDescent="0.25">
      <c r="A2" s="84"/>
      <c r="B2" s="84"/>
      <c r="C2" s="84"/>
      <c r="D2" s="84"/>
      <c r="E2" s="84"/>
      <c r="F2" s="84"/>
      <c r="G2" s="84"/>
      <c r="H2" s="84"/>
    </row>
    <row r="3" spans="1:12" x14ac:dyDescent="0.25">
      <c r="A3" s="84"/>
      <c r="B3" s="84"/>
      <c r="C3" s="84"/>
      <c r="D3" s="84"/>
      <c r="E3" s="84"/>
      <c r="F3" s="84"/>
      <c r="G3" s="84"/>
      <c r="H3" s="84"/>
    </row>
    <row r="4" spans="1:12" x14ac:dyDescent="0.25">
      <c r="A4" s="84"/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x14ac:dyDescent="0.25">
      <c r="A6" s="84"/>
      <c r="B6" s="84"/>
      <c r="C6" s="84"/>
      <c r="D6" s="84"/>
      <c r="E6" s="84"/>
      <c r="F6" s="84"/>
      <c r="G6" s="84"/>
      <c r="H6" s="84"/>
    </row>
    <row r="7" spans="1:12" x14ac:dyDescent="0.25">
      <c r="A7" s="84"/>
      <c r="B7" s="84"/>
      <c r="C7" s="84"/>
      <c r="D7" s="84"/>
      <c r="E7" s="84"/>
      <c r="F7" s="84"/>
      <c r="G7" s="84"/>
      <c r="H7" s="84"/>
    </row>
    <row r="8" spans="1:12" ht="15" customHeight="1" x14ac:dyDescent="0.35">
      <c r="A8" s="84"/>
      <c r="B8" s="107" t="s">
        <v>283</v>
      </c>
      <c r="C8" s="107"/>
      <c r="D8" s="107"/>
      <c r="E8" s="107"/>
      <c r="F8" s="107"/>
      <c r="G8" s="107"/>
      <c r="H8" s="107"/>
      <c r="I8" s="8"/>
    </row>
    <row r="9" spans="1:12" ht="15.75" customHeight="1" thickBot="1" x14ac:dyDescent="0.4">
      <c r="A9" s="84"/>
      <c r="B9" s="108"/>
      <c r="C9" s="108"/>
      <c r="D9" s="108"/>
      <c r="E9" s="108"/>
      <c r="F9" s="108"/>
      <c r="G9" s="108"/>
      <c r="H9" s="108"/>
      <c r="I9" s="8"/>
    </row>
    <row r="10" spans="1:12" ht="15.75" customHeight="1" thickTop="1" x14ac:dyDescent="0.5">
      <c r="A10" s="84"/>
      <c r="B10" s="85"/>
      <c r="C10" s="85"/>
      <c r="D10" s="85"/>
      <c r="E10" s="85"/>
      <c r="F10" s="85"/>
      <c r="G10" s="85"/>
      <c r="H10" s="85"/>
      <c r="I10" s="8"/>
    </row>
    <row r="11" spans="1:12" x14ac:dyDescent="0.25">
      <c r="A11" s="84"/>
      <c r="B11" s="84"/>
      <c r="C11" s="84"/>
      <c r="D11" s="84"/>
      <c r="E11" s="84"/>
      <c r="F11" s="84"/>
      <c r="G11" s="84"/>
      <c r="H11" s="84"/>
    </row>
    <row r="12" spans="1:12" x14ac:dyDescent="0.25">
      <c r="A12" s="84"/>
      <c r="B12" s="12"/>
      <c r="C12" s="87" t="s">
        <v>226</v>
      </c>
      <c r="D12" s="84"/>
      <c r="E12" s="84"/>
      <c r="F12" s="84"/>
      <c r="G12" s="84"/>
      <c r="H12" s="84"/>
      <c r="J12" s="1"/>
    </row>
    <row r="13" spans="1:12" ht="15" customHeight="1" x14ac:dyDescent="0.35">
      <c r="A13" s="84"/>
      <c r="B13" s="30"/>
      <c r="C13" s="87" t="s">
        <v>81</v>
      </c>
      <c r="D13" s="84"/>
      <c r="E13" s="84"/>
      <c r="F13" s="84"/>
      <c r="G13" s="84"/>
      <c r="H13" s="84"/>
      <c r="J13" s="8"/>
      <c r="K13" s="8"/>
      <c r="L13" s="1"/>
    </row>
    <row r="14" spans="1:12" ht="15" customHeight="1" x14ac:dyDescent="0.35">
      <c r="A14" s="84"/>
      <c r="B14" s="31"/>
      <c r="C14" s="87" t="s">
        <v>80</v>
      </c>
      <c r="D14" s="84"/>
      <c r="E14" s="84"/>
      <c r="F14" s="84"/>
      <c r="G14" s="84"/>
      <c r="H14" s="84"/>
      <c r="J14" s="8"/>
      <c r="K14" s="8"/>
      <c r="L14" s="1"/>
    </row>
    <row r="15" spans="1:12" ht="15" customHeight="1" x14ac:dyDescent="0.35">
      <c r="A15" s="84"/>
      <c r="B15" s="29"/>
      <c r="C15" s="87" t="s">
        <v>79</v>
      </c>
      <c r="D15" s="84"/>
      <c r="E15" s="84"/>
      <c r="F15" s="84"/>
      <c r="G15" s="84"/>
      <c r="H15" s="84"/>
      <c r="J15" s="8"/>
      <c r="K15" s="8"/>
      <c r="L15" s="1"/>
    </row>
    <row r="16" spans="1:12" ht="15" customHeight="1" x14ac:dyDescent="0.35">
      <c r="A16" s="84"/>
      <c r="B16" s="56"/>
      <c r="C16" s="87" t="s">
        <v>189</v>
      </c>
      <c r="D16" s="84"/>
      <c r="E16" s="84"/>
      <c r="F16" s="84"/>
      <c r="G16" s="84"/>
      <c r="H16" s="84"/>
      <c r="J16" s="8"/>
      <c r="K16" s="8"/>
      <c r="L16" s="1"/>
    </row>
    <row r="17" spans="1:12" ht="15" customHeight="1" x14ac:dyDescent="0.35">
      <c r="A17" s="84"/>
      <c r="B17" s="102"/>
      <c r="C17" s="87"/>
      <c r="D17" s="84"/>
      <c r="E17" s="84"/>
      <c r="F17" s="84"/>
      <c r="G17" s="84"/>
      <c r="H17" s="84"/>
      <c r="J17" s="8"/>
      <c r="K17" s="8"/>
      <c r="L17" s="1"/>
    </row>
    <row r="18" spans="1:12" x14ac:dyDescent="0.25">
      <c r="A18" s="84"/>
      <c r="B18" s="84"/>
      <c r="C18" s="84"/>
      <c r="D18" s="84"/>
      <c r="E18" s="84"/>
      <c r="F18" s="84"/>
      <c r="G18" s="84"/>
      <c r="H18" s="84"/>
      <c r="I18" s="1"/>
    </row>
    <row r="19" spans="1:12" x14ac:dyDescent="0.25">
      <c r="A19" s="84"/>
      <c r="B19" s="2"/>
      <c r="C19" s="2"/>
      <c r="D19" s="33" t="s">
        <v>187</v>
      </c>
      <c r="E19" s="33" t="s">
        <v>13</v>
      </c>
      <c r="F19" s="33" t="s">
        <v>8</v>
      </c>
      <c r="G19" s="33" t="s">
        <v>9</v>
      </c>
      <c r="H19" s="52" t="s">
        <v>26</v>
      </c>
    </row>
    <row r="20" spans="1:12" x14ac:dyDescent="0.25">
      <c r="A20" s="84"/>
      <c r="B20" s="2"/>
      <c r="C20" s="2"/>
      <c r="D20" s="64">
        <v>1.3</v>
      </c>
      <c r="E20" s="65">
        <v>15</v>
      </c>
      <c r="F20" s="64">
        <v>1.2</v>
      </c>
      <c r="G20" s="64">
        <v>1.2</v>
      </c>
      <c r="H20" s="52">
        <f>G20*F20</f>
        <v>1.44</v>
      </c>
    </row>
    <row r="21" spans="1:12" x14ac:dyDescent="0.25">
      <c r="A21" s="84"/>
      <c r="B21" s="2"/>
      <c r="C21" s="2"/>
      <c r="D21" s="3"/>
      <c r="E21" s="18"/>
      <c r="F21" s="6"/>
      <c r="G21" s="6"/>
      <c r="H21" s="3"/>
    </row>
    <row r="22" spans="1:12" ht="15.75" thickBot="1" x14ac:dyDescent="0.3">
      <c r="A22" s="84"/>
      <c r="B22" s="20" t="s">
        <v>11</v>
      </c>
      <c r="C22" s="20" t="s">
        <v>16</v>
      </c>
      <c r="D22" s="21" t="s">
        <v>17</v>
      </c>
      <c r="E22" s="21" t="s">
        <v>27</v>
      </c>
      <c r="F22" s="22" t="s">
        <v>18</v>
      </c>
      <c r="G22" s="22" t="s">
        <v>29</v>
      </c>
      <c r="H22" s="21" t="s">
        <v>19</v>
      </c>
    </row>
    <row r="23" spans="1:12" ht="15.75" thickTop="1" x14ac:dyDescent="0.25">
      <c r="A23" s="84"/>
      <c r="B23" s="34">
        <f>IFERROR(VLOOKUP(C23,Dati!$A$22:$C$25,2,FALSE),"")</f>
        <v>25</v>
      </c>
      <c r="C23" s="68" t="s">
        <v>39</v>
      </c>
      <c r="D23" s="19">
        <f>IFERROR(VLOOKUP(C23,Dati!$A$22:$C$25,3,FALSE),"")</f>
        <v>8.7999999999999995E-2</v>
      </c>
      <c r="E23" s="19">
        <f t="shared" ref="E23:E34" si="0">D23*(1-$E$20/100)</f>
        <v>7.4799999999999991E-2</v>
      </c>
      <c r="F23" s="11" t="s">
        <v>0</v>
      </c>
      <c r="G23" s="10">
        <f>(50+30*ISNUMBER(FIND(15,C23)))*F20*G20</f>
        <v>72</v>
      </c>
      <c r="H23" s="11">
        <f>E23*G23</f>
        <v>5.3855999999999993</v>
      </c>
    </row>
    <row r="24" spans="1:12" x14ac:dyDescent="0.25">
      <c r="A24" s="84"/>
      <c r="B24" s="9" t="s">
        <v>48</v>
      </c>
      <c r="C24" s="80" t="s">
        <v>214</v>
      </c>
      <c r="D24" s="4">
        <v>1.7</v>
      </c>
      <c r="E24" s="5">
        <f t="shared" si="0"/>
        <v>1.4449999999999998</v>
      </c>
      <c r="F24" s="4" t="s">
        <v>0</v>
      </c>
      <c r="G24" s="3">
        <f>F20</f>
        <v>1.2</v>
      </c>
      <c r="H24" s="4">
        <f t="shared" ref="H24:H34" si="1">E24*G24</f>
        <v>1.7339999999999998</v>
      </c>
    </row>
    <row r="25" spans="1:12" x14ac:dyDescent="0.25">
      <c r="A25" s="84"/>
      <c r="B25" s="9" t="s">
        <v>56</v>
      </c>
      <c r="C25" s="2" t="s">
        <v>30</v>
      </c>
      <c r="D25" s="5">
        <v>0.37</v>
      </c>
      <c r="E25" s="5">
        <f t="shared" si="0"/>
        <v>0.3145</v>
      </c>
      <c r="F25" s="4" t="s">
        <v>0</v>
      </c>
      <c r="G25" s="3">
        <f>F20</f>
        <v>1.2</v>
      </c>
      <c r="H25" s="4">
        <f t="shared" si="1"/>
        <v>0.37740000000000001</v>
      </c>
    </row>
    <row r="26" spans="1:12" x14ac:dyDescent="0.25">
      <c r="A26" s="84"/>
      <c r="B26" s="73">
        <f>IF($C$23="Lamella 15 mm",Dati!$B$41,IF($C$23="Lamella 15 mm perf",Dati!$B$41,Dati!$B$40))</f>
        <v>920</v>
      </c>
      <c r="C26" s="74" t="str">
        <f>IF($C$23="Lamella 15 mm",Dati!$A$41,IF($C$23="Lamella 15 mm perf",Dati!$A$41,Dati!$A$40))</f>
        <v>Terilene 25 mm</v>
      </c>
      <c r="D26" s="75">
        <f>IF($C$23="Lamella 15 mm",Dati!$C$41,IF($C$23="Lamella 15 mm perf",Dati!$C$41,Dati!$C$40))</f>
        <v>7.0000000000000007E-2</v>
      </c>
      <c r="E26" s="5">
        <f t="shared" si="0"/>
        <v>5.9500000000000004E-2</v>
      </c>
      <c r="F26" s="4" t="s">
        <v>0</v>
      </c>
      <c r="G26" s="3">
        <f>G29*G20</f>
        <v>3.5999999999999996</v>
      </c>
      <c r="H26" s="4">
        <f t="shared" si="1"/>
        <v>0.2142</v>
      </c>
    </row>
    <row r="27" spans="1:12" x14ac:dyDescent="0.25">
      <c r="A27" s="84"/>
      <c r="B27" s="9">
        <v>1021</v>
      </c>
      <c r="C27" s="2" t="s">
        <v>2</v>
      </c>
      <c r="D27" s="5">
        <v>4.4999999999999998E-2</v>
      </c>
      <c r="E27" s="5">
        <f t="shared" si="0"/>
        <v>3.8249999999999999E-2</v>
      </c>
      <c r="F27" s="4" t="s">
        <v>0</v>
      </c>
      <c r="G27" s="3">
        <f>G29*G20+F20</f>
        <v>4.8</v>
      </c>
      <c r="H27" s="4">
        <f t="shared" si="1"/>
        <v>0.18359999999999999</v>
      </c>
    </row>
    <row r="28" spans="1:12" ht="30" x14ac:dyDescent="0.25">
      <c r="A28" s="84"/>
      <c r="B28" s="103" t="str">
        <f>IFERROR(VLOOKUP(C28,Dati!$A$66:$C$71,2,FALSE),"")</f>
        <v>M2406E+630+T141</v>
      </c>
      <c r="C28" s="104" t="s">
        <v>290</v>
      </c>
      <c r="D28" s="5">
        <f>IFERROR(VLOOKUP(C28,Dati!$A$66:$C$71,3,FALSE),"")</f>
        <v>124</v>
      </c>
      <c r="E28" s="5">
        <f t="shared" si="0"/>
        <v>105.39999999999999</v>
      </c>
      <c r="F28" s="4" t="s">
        <v>4</v>
      </c>
      <c r="G28" s="3">
        <v>1</v>
      </c>
      <c r="H28" s="4">
        <f t="shared" si="1"/>
        <v>105.39999999999999</v>
      </c>
    </row>
    <row r="29" spans="1:12" x14ac:dyDescent="0.25">
      <c r="A29" s="84"/>
      <c r="B29" s="9" t="s">
        <v>59</v>
      </c>
      <c r="C29" s="2" t="s">
        <v>60</v>
      </c>
      <c r="D29" s="5">
        <v>3.1</v>
      </c>
      <c r="E29" s="5">
        <f t="shared" si="0"/>
        <v>2.6349999999999998</v>
      </c>
      <c r="F29" s="4" t="s">
        <v>4</v>
      </c>
      <c r="G29" s="3">
        <f>IF($F$20&lt;(0.86-0.21*ISNUMBER(FIND("15",$C$23))),2,IF($F$20&lt;(1.44-0.25*ISNUMBER(FIND("15",$C$23))),3,IF($F$20&lt;(2.1-0.6*ISNUMBER(FIND("15",$C$23))),4,IF($F$20&lt;(2.3-0.4*ISNUMBER(FIND("15",$C$23))),5,IF($F$20&lt;=(2.6-0.4*ISNUMBER(FIND("15",$C$23))),6,IF($F$20&gt;(2.6-0.4*ISNUMBER(FIND("15",$C$23))),7))))))</f>
        <v>3</v>
      </c>
      <c r="H29" s="4">
        <f t="shared" si="1"/>
        <v>7.9049999999999994</v>
      </c>
    </row>
    <row r="30" spans="1:12" x14ac:dyDescent="0.25">
      <c r="A30" s="84"/>
      <c r="B30" s="36" t="str">
        <f>IFERROR(VLOOKUP(C30,Dati!$A$46:$C$47,2,FALSE),"")</f>
        <v>910/C</v>
      </c>
      <c r="C30" s="79" t="s">
        <v>236</v>
      </c>
      <c r="D30" s="5">
        <f>IFERROR(VLOOKUP(C30,Dati!$A$46:$C$47,3,FALSE),"")</f>
        <v>0.06</v>
      </c>
      <c r="E30" s="5">
        <f t="shared" si="0"/>
        <v>5.0999999999999997E-2</v>
      </c>
      <c r="F30" s="4" t="s">
        <v>4</v>
      </c>
      <c r="G30" s="3">
        <f>IF($F$20&lt;(0.86-0.21*ISNUMBER(FIND("15",$C$23))),2,IF($F$20&lt;(1.44-0.25*ISNUMBER(FIND("15",$C$23))),3,IF($F$20&lt;(2.1-0.6*ISNUMBER(FIND("15",$C$23))),4,IF($F$20&lt;(2.3-0.4*ISNUMBER(FIND("15",$C$23))),5,IF($F$20&lt;=(2.6-0.4*ISNUMBER(FIND("15",$C$23))),6,IF($F$20&gt;(2.6-0.4*ISNUMBER(FIND("15",$C$23))),7))))))</f>
        <v>3</v>
      </c>
      <c r="H30" s="4">
        <f t="shared" si="1"/>
        <v>0.153</v>
      </c>
    </row>
    <row r="31" spans="1:12" x14ac:dyDescent="0.25">
      <c r="A31" s="84"/>
      <c r="B31" s="9" t="str">
        <f>IFERROR(VLOOKUP(C31,Dati!$A$49:$C$50,2,FALSE),"")</f>
        <v>911/C</v>
      </c>
      <c r="C31" s="79" t="s">
        <v>240</v>
      </c>
      <c r="D31" s="5">
        <f>IFERROR(VLOOKUP(C31,Dati!$A$49:$C$50,3,FALSE),"")</f>
        <v>0.09</v>
      </c>
      <c r="E31" s="5">
        <f t="shared" si="0"/>
        <v>7.6499999999999999E-2</v>
      </c>
      <c r="F31" s="4" t="s">
        <v>4</v>
      </c>
      <c r="G31" s="3">
        <v>2</v>
      </c>
      <c r="H31" s="4">
        <f t="shared" si="1"/>
        <v>0.153</v>
      </c>
    </row>
    <row r="32" spans="1:12" x14ac:dyDescent="0.25">
      <c r="A32" s="84"/>
      <c r="B32" s="9">
        <v>217</v>
      </c>
      <c r="C32" s="2" t="s">
        <v>57</v>
      </c>
      <c r="D32" s="5">
        <v>0.26</v>
      </c>
      <c r="E32" s="5">
        <f t="shared" si="0"/>
        <v>0.221</v>
      </c>
      <c r="F32" s="4" t="s">
        <v>4</v>
      </c>
      <c r="G32" s="3">
        <v>1</v>
      </c>
      <c r="H32" s="4">
        <f t="shared" si="1"/>
        <v>0.221</v>
      </c>
    </row>
    <row r="33" spans="1:9" x14ac:dyDescent="0.25">
      <c r="A33" s="84"/>
      <c r="B33" s="36" t="str">
        <f>IFERROR(VLOOKUP(C33,Dati!$A$28:$C$29,2,FALSE),"")</f>
        <v>922/L</v>
      </c>
      <c r="C33" s="66" t="s">
        <v>88</v>
      </c>
      <c r="D33" s="5">
        <f>IFERROR(VLOOKUP(C33,Dati!$A$28:$C$29,3,FALSE),"")</f>
        <v>0.27</v>
      </c>
      <c r="E33" s="5">
        <f t="shared" si="0"/>
        <v>0.22950000000000001</v>
      </c>
      <c r="F33" s="4" t="s">
        <v>4</v>
      </c>
      <c r="G33" s="3">
        <f>IF(F20&lt;1.6,2,IF(F20&lt;=2.5,3,IF(F20&gt;2.501,4)))</f>
        <v>2</v>
      </c>
      <c r="H33" s="4">
        <f t="shared" si="1"/>
        <v>0.45900000000000002</v>
      </c>
    </row>
    <row r="34" spans="1:9" x14ac:dyDescent="0.25">
      <c r="A34" s="84"/>
      <c r="B34" s="9" t="str">
        <f>IFERROR(VLOOKUP(C34,Dati!$A$52:$C$53,2,FALSE),"")</f>
        <v>924/C</v>
      </c>
      <c r="C34" s="79" t="s">
        <v>241</v>
      </c>
      <c r="D34" s="5">
        <f>IFERROR(VLOOKUP(C34,Dati!$A$52:$C$53,3,FALSE),"")</f>
        <v>0.1</v>
      </c>
      <c r="E34" s="5">
        <f t="shared" si="0"/>
        <v>8.5000000000000006E-2</v>
      </c>
      <c r="F34" s="4" t="s">
        <v>4</v>
      </c>
      <c r="G34" s="15">
        <v>2</v>
      </c>
      <c r="H34" s="24">
        <f t="shared" si="1"/>
        <v>0.17</v>
      </c>
    </row>
    <row r="35" spans="1:9" ht="15.75" thickBot="1" x14ac:dyDescent="0.3">
      <c r="A35" s="84"/>
      <c r="B35" s="2"/>
      <c r="C35" s="2"/>
      <c r="D35" s="3"/>
      <c r="E35" s="5"/>
      <c r="F35" s="116" t="s">
        <v>12</v>
      </c>
      <c r="G35" s="116"/>
      <c r="H35" s="81">
        <f>SUM(H23:H34)</f>
        <v>122.35580000000002</v>
      </c>
    </row>
    <row r="36" spans="1:9" ht="15.75" thickTop="1" x14ac:dyDescent="0.25">
      <c r="A36" s="84"/>
      <c r="B36" s="2"/>
      <c r="C36" s="2"/>
      <c r="D36" s="3"/>
      <c r="E36" s="3"/>
      <c r="F36" s="117" t="s">
        <v>7</v>
      </c>
      <c r="G36" s="117"/>
      <c r="H36" s="7">
        <f>IF(H20&gt;=1,H35/H20,H35*H20)</f>
        <v>84.969305555555565</v>
      </c>
    </row>
    <row r="37" spans="1:9" x14ac:dyDescent="0.25">
      <c r="A37" s="84"/>
      <c r="B37" s="84"/>
      <c r="C37" s="84"/>
      <c r="D37" s="84"/>
      <c r="E37" s="84"/>
      <c r="F37" s="84"/>
      <c r="G37" s="84"/>
      <c r="H37" s="84"/>
    </row>
    <row r="38" spans="1:9" x14ac:dyDescent="0.25">
      <c r="A38" s="84"/>
      <c r="B38" s="84"/>
      <c r="C38" s="84"/>
      <c r="D38" s="84"/>
      <c r="E38" s="84"/>
      <c r="F38" s="113" t="s">
        <v>20</v>
      </c>
      <c r="G38" s="113"/>
      <c r="H38" s="67">
        <v>120</v>
      </c>
    </row>
    <row r="39" spans="1:9" x14ac:dyDescent="0.25">
      <c r="A39" s="84"/>
      <c r="B39" s="84"/>
      <c r="C39" s="84"/>
      <c r="D39" s="84"/>
      <c r="E39" s="84"/>
      <c r="F39" s="113" t="s">
        <v>10</v>
      </c>
      <c r="G39" s="113"/>
      <c r="H39" s="17">
        <f>(H38-H36)/H38</f>
        <v>0.29192245370370362</v>
      </c>
    </row>
    <row r="40" spans="1:9" x14ac:dyDescent="0.25">
      <c r="A40" s="84"/>
      <c r="B40" s="84"/>
      <c r="C40" s="84"/>
      <c r="D40" s="84"/>
      <c r="E40" s="84"/>
      <c r="F40" s="115" t="s">
        <v>186</v>
      </c>
      <c r="G40" s="115"/>
      <c r="H40" s="54">
        <f>IF(H20&lt;D20,H38*D20,H38*H20)</f>
        <v>172.79999999999998</v>
      </c>
    </row>
    <row r="41" spans="1:9" x14ac:dyDescent="0.25">
      <c r="A41" s="84"/>
      <c r="B41" s="84"/>
      <c r="C41" s="84"/>
      <c r="D41" s="84"/>
      <c r="E41" s="84"/>
      <c r="F41" s="115" t="s">
        <v>188</v>
      </c>
      <c r="G41" s="115"/>
      <c r="H41" s="55">
        <f>(H40-H35)/H40</f>
        <v>0.29192245370370357</v>
      </c>
      <c r="I41" s="13"/>
    </row>
    <row r="42" spans="1:9" ht="15.75" thickBot="1" x14ac:dyDescent="0.3">
      <c r="A42" s="84"/>
      <c r="B42" s="114" t="s">
        <v>25</v>
      </c>
      <c r="C42" s="114"/>
      <c r="D42" s="84"/>
      <c r="E42" s="84"/>
      <c r="F42" s="84"/>
      <c r="G42" s="84"/>
      <c r="H42" s="84"/>
    </row>
    <row r="43" spans="1:9" x14ac:dyDescent="0.25">
      <c r="A43" s="84"/>
      <c r="B43" s="100"/>
      <c r="C43" s="100"/>
      <c r="D43" s="84"/>
      <c r="E43" s="84"/>
      <c r="F43" s="84"/>
      <c r="G43" s="84"/>
      <c r="H43" s="84"/>
    </row>
    <row r="44" spans="1:9" ht="15.75" thickBot="1" x14ac:dyDescent="0.3">
      <c r="A44" s="84"/>
      <c r="B44" s="20" t="s">
        <v>11</v>
      </c>
      <c r="C44" s="20" t="s">
        <v>16</v>
      </c>
      <c r="D44" s="21" t="s">
        <v>17</v>
      </c>
      <c r="E44" s="21" t="s">
        <v>27</v>
      </c>
      <c r="F44" s="22" t="s">
        <v>18</v>
      </c>
      <c r="G44" s="22" t="s">
        <v>29</v>
      </c>
      <c r="H44" s="21" t="s">
        <v>19</v>
      </c>
    </row>
    <row r="45" spans="1:9" ht="15.75" thickTop="1" x14ac:dyDescent="0.25">
      <c r="A45" s="84"/>
      <c r="B45" s="9">
        <v>918</v>
      </c>
      <c r="C45" s="2" t="s">
        <v>248</v>
      </c>
      <c r="D45" s="5">
        <v>0.11</v>
      </c>
      <c r="E45" s="5">
        <f t="shared" ref="E45:E48" si="2">D45*(1-$E$20/100)</f>
        <v>9.35E-2</v>
      </c>
      <c r="F45" s="4" t="s">
        <v>0</v>
      </c>
      <c r="G45" s="3">
        <f>2*G20+0.2</f>
        <v>2.6</v>
      </c>
      <c r="H45" s="4">
        <f t="shared" ref="H45:H48" si="3">E45*G45</f>
        <v>0.24310000000000001</v>
      </c>
    </row>
    <row r="46" spans="1:9" x14ac:dyDescent="0.25">
      <c r="A46" s="84"/>
      <c r="B46" s="92">
        <v>913</v>
      </c>
      <c r="C46" s="86" t="s">
        <v>252</v>
      </c>
      <c r="D46" s="93">
        <v>0.15</v>
      </c>
      <c r="E46" s="5">
        <f t="shared" si="2"/>
        <v>0.1275</v>
      </c>
      <c r="F46" s="89" t="s">
        <v>4</v>
      </c>
      <c r="G46" s="88">
        <v>2</v>
      </c>
      <c r="H46" s="89">
        <f t="shared" si="3"/>
        <v>0.255</v>
      </c>
    </row>
    <row r="47" spans="1:9" x14ac:dyDescent="0.25">
      <c r="A47" s="84"/>
      <c r="B47" s="36">
        <f>IFERROR(VLOOKUP(C47,Dati!$A$62:$C$64,2,FALSE),"")</f>
        <v>914</v>
      </c>
      <c r="C47" s="66" t="s">
        <v>89</v>
      </c>
      <c r="D47" s="5">
        <f>IFERROR(VLOOKUP(C47,Dati!$A$62:$C$64,3,FALSE),"")</f>
        <v>0.22</v>
      </c>
      <c r="E47" s="5">
        <f t="shared" si="2"/>
        <v>0.187</v>
      </c>
      <c r="F47" s="4" t="s">
        <v>4</v>
      </c>
      <c r="G47" s="3">
        <v>2</v>
      </c>
      <c r="H47" s="4">
        <f t="shared" si="3"/>
        <v>0.374</v>
      </c>
    </row>
    <row r="48" spans="1:9" x14ac:dyDescent="0.25">
      <c r="A48" s="84"/>
      <c r="B48" s="9" t="str">
        <f>IFERROR(VLOOKUP(C48,Dati!$A$55:$C$56,2,FALSE),"")</f>
        <v>911/OC</v>
      </c>
      <c r="C48" s="79" t="s">
        <v>243</v>
      </c>
      <c r="D48" s="5">
        <f>IFERROR(VLOOKUP(C48,Dati!$A$55:$C$56,3,FALSE),"")</f>
        <v>0.09</v>
      </c>
      <c r="E48" s="5">
        <f t="shared" si="2"/>
        <v>7.6499999999999999E-2</v>
      </c>
      <c r="F48" s="24" t="s">
        <v>4</v>
      </c>
      <c r="G48" s="15">
        <v>2</v>
      </c>
      <c r="H48" s="4">
        <f t="shared" si="3"/>
        <v>0.153</v>
      </c>
    </row>
    <row r="49" spans="1:8" ht="15.75" thickBot="1" x14ac:dyDescent="0.3">
      <c r="A49" s="84"/>
      <c r="B49" s="2"/>
      <c r="C49" s="2"/>
      <c r="D49" s="3"/>
      <c r="E49" s="3"/>
      <c r="F49" s="116" t="s">
        <v>14</v>
      </c>
      <c r="G49" s="116"/>
      <c r="H49" s="81">
        <f>SUM(H45:H48)</f>
        <v>1.0250999999999999</v>
      </c>
    </row>
    <row r="50" spans="1:8" ht="15.75" thickTop="1" x14ac:dyDescent="0.25">
      <c r="A50" s="84"/>
      <c r="B50" s="84"/>
      <c r="C50" s="84"/>
      <c r="D50" s="84"/>
      <c r="E50" s="84"/>
      <c r="F50" s="84"/>
      <c r="G50" s="84"/>
      <c r="H50" s="84"/>
    </row>
    <row r="51" spans="1:8" x14ac:dyDescent="0.25">
      <c r="A51" s="84"/>
      <c r="B51" s="84"/>
      <c r="C51" s="84"/>
      <c r="D51" s="84"/>
      <c r="E51" s="84"/>
      <c r="F51" s="113" t="s">
        <v>28</v>
      </c>
      <c r="G51" s="113"/>
      <c r="H51" s="67">
        <v>1.5</v>
      </c>
    </row>
    <row r="52" spans="1:8" x14ac:dyDescent="0.25">
      <c r="A52" s="84"/>
      <c r="B52" s="84"/>
      <c r="C52" s="84"/>
      <c r="D52" s="84"/>
      <c r="E52" s="84"/>
      <c r="F52" s="113" t="s">
        <v>10</v>
      </c>
      <c r="G52" s="113"/>
      <c r="H52" s="17">
        <f>(H51-H49)/H51</f>
        <v>0.31660000000000005</v>
      </c>
    </row>
    <row r="53" spans="1:8" x14ac:dyDescent="0.25">
      <c r="A53" s="84"/>
      <c r="B53" s="84"/>
      <c r="C53" s="84"/>
      <c r="D53" s="84"/>
      <c r="E53" s="84"/>
      <c r="F53" s="84"/>
      <c r="G53" s="84"/>
      <c r="H53" s="84"/>
    </row>
    <row r="54" spans="1:8" x14ac:dyDescent="0.25">
      <c r="A54" s="84"/>
      <c r="B54" s="84"/>
      <c r="C54" s="84"/>
      <c r="D54" s="84"/>
      <c r="E54" s="84"/>
      <c r="F54" s="84"/>
      <c r="G54" s="84"/>
      <c r="H54" s="84"/>
    </row>
  </sheetData>
  <sheetProtection formatCells="0" formatColumns="0" formatRows="0" insertColumns="0" insertRows="0" insertHyperlinks="0" deleteColumns="0" deleteRows="0" sort="0" autoFilter="0" pivotTables="0"/>
  <mergeCells count="11">
    <mergeCell ref="F40:G40"/>
    <mergeCell ref="B8:H9"/>
    <mergeCell ref="F35:G35"/>
    <mergeCell ref="F36:G36"/>
    <mergeCell ref="F38:G38"/>
    <mergeCell ref="F39:G39"/>
    <mergeCell ref="F41:G41"/>
    <mergeCell ref="B42:C42"/>
    <mergeCell ref="F49:G49"/>
    <mergeCell ref="F51:G51"/>
    <mergeCell ref="F52:G52"/>
  </mergeCells>
  <dataValidations count="8">
    <dataValidation type="list" allowBlank="1" showInputMessage="1" showErrorMessage="1" sqref="C34">
      <formula1>TappoCassonetto</formula1>
    </dataValidation>
    <dataValidation type="list" allowBlank="1" showInputMessage="1" showErrorMessage="1" sqref="C30">
      <formula1>FermaTerilene</formula1>
    </dataValidation>
    <dataValidation type="list" allowBlank="1" showInputMessage="1" showErrorMessage="1" sqref="C31">
      <formula1>TappoSpiaggiale</formula1>
    </dataValidation>
    <dataValidation type="list" allowBlank="1" showInputMessage="1" showErrorMessage="1" sqref="C48">
      <formula1>Occhiello</formula1>
    </dataValidation>
    <dataValidation type="list" allowBlank="1" showInputMessage="1" showErrorMessage="1" sqref="C33">
      <formula1>Supporto25</formula1>
    </dataValidation>
    <dataValidation type="list" allowBlank="1" showInputMessage="1" showErrorMessage="1" sqref="C23">
      <formula1>Lamella25</formula1>
    </dataValidation>
    <dataValidation type="list" allowBlank="1" showInputMessage="1" showErrorMessage="1" sqref="C47">
      <formula1>Morsettino</formula1>
    </dataValidation>
    <dataValidation type="list" allowBlank="1" showInputMessage="1" showErrorMessage="1" sqref="C28">
      <formula1>MotoreVen</formula1>
    </dataValidation>
  </dataValidations>
  <pageMargins left="0.11811023622047245" right="0.11811023622047245" top="0.11811023622047245" bottom="0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9"/>
  <dimension ref="A1:L55"/>
  <sheetViews>
    <sheetView workbookViewId="0">
      <selection activeCell="D54" sqref="D54"/>
    </sheetView>
  </sheetViews>
  <sheetFormatPr defaultColWidth="8.85546875" defaultRowHeight="15" x14ac:dyDescent="0.25"/>
  <cols>
    <col min="1" max="1" width="1.5703125" customWidth="1"/>
    <col min="3" max="3" width="27.28515625" customWidth="1"/>
    <col min="4" max="4" width="12" customWidth="1"/>
    <col min="5" max="5" width="13.85546875" customWidth="1"/>
    <col min="6" max="6" width="10.140625" customWidth="1"/>
    <col min="7" max="7" width="11.7109375" customWidth="1"/>
    <col min="8" max="8" width="14.7109375" customWidth="1"/>
    <col min="9" max="9" width="5.7109375" customWidth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2" spans="1:12" x14ac:dyDescent="0.25">
      <c r="A2" s="84"/>
      <c r="B2" s="84"/>
      <c r="C2" s="84"/>
      <c r="D2" s="84"/>
      <c r="E2" s="84"/>
      <c r="F2" s="84"/>
      <c r="G2" s="84"/>
      <c r="H2" s="84"/>
    </row>
    <row r="3" spans="1:12" x14ac:dyDescent="0.25">
      <c r="A3" s="84"/>
      <c r="B3" s="84"/>
      <c r="C3" s="84"/>
      <c r="D3" s="84"/>
      <c r="E3" s="84"/>
      <c r="F3" s="84"/>
      <c r="G3" s="84"/>
      <c r="H3" s="84"/>
    </row>
    <row r="4" spans="1:12" x14ac:dyDescent="0.25">
      <c r="A4" s="84"/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x14ac:dyDescent="0.25">
      <c r="A6" s="84"/>
      <c r="B6" s="84"/>
      <c r="C6" s="84"/>
      <c r="D6" s="84"/>
      <c r="E6" s="84"/>
      <c r="F6" s="84"/>
      <c r="G6" s="84"/>
      <c r="H6" s="84"/>
    </row>
    <row r="7" spans="1:12" x14ac:dyDescent="0.25">
      <c r="A7" s="84"/>
      <c r="B7" s="84"/>
      <c r="C7" s="84"/>
      <c r="D7" s="84"/>
      <c r="E7" s="84"/>
      <c r="F7" s="84"/>
      <c r="G7" s="84"/>
      <c r="H7" s="84"/>
    </row>
    <row r="8" spans="1:12" x14ac:dyDescent="0.25">
      <c r="A8" s="84"/>
      <c r="B8" s="84"/>
      <c r="C8" s="84"/>
      <c r="D8" s="84"/>
      <c r="E8" s="84"/>
      <c r="F8" s="84"/>
      <c r="G8" s="84"/>
      <c r="H8" s="84"/>
    </row>
    <row r="9" spans="1:12" ht="15" customHeight="1" x14ac:dyDescent="0.35">
      <c r="A9" s="84"/>
      <c r="B9" s="107" t="s">
        <v>297</v>
      </c>
      <c r="C9" s="107"/>
      <c r="D9" s="107"/>
      <c r="E9" s="107"/>
      <c r="F9" s="107"/>
      <c r="G9" s="107"/>
      <c r="H9" s="107"/>
      <c r="I9" s="8"/>
    </row>
    <row r="10" spans="1:12" ht="15.75" customHeight="1" thickBot="1" x14ac:dyDescent="0.4">
      <c r="A10" s="84"/>
      <c r="B10" s="108"/>
      <c r="C10" s="108"/>
      <c r="D10" s="108"/>
      <c r="E10" s="108"/>
      <c r="F10" s="108"/>
      <c r="G10" s="108"/>
      <c r="H10" s="108"/>
      <c r="I10" s="8"/>
    </row>
    <row r="11" spans="1:12" ht="15.75" customHeight="1" thickTop="1" x14ac:dyDescent="0.5">
      <c r="A11" s="84"/>
      <c r="B11" s="85"/>
      <c r="C11" s="85"/>
      <c r="D11" s="85"/>
      <c r="E11" s="85"/>
      <c r="F11" s="85"/>
      <c r="G11" s="85"/>
      <c r="H11" s="85"/>
      <c r="I11" s="8"/>
    </row>
    <row r="12" spans="1:12" x14ac:dyDescent="0.25">
      <c r="A12" s="84"/>
      <c r="B12" s="84"/>
      <c r="C12" s="84"/>
      <c r="D12" s="84"/>
      <c r="E12" s="84"/>
      <c r="F12" s="84"/>
      <c r="G12" s="84"/>
      <c r="H12" s="84"/>
    </row>
    <row r="13" spans="1:12" x14ac:dyDescent="0.25">
      <c r="A13" s="84"/>
      <c r="B13" s="12"/>
      <c r="C13" s="87" t="s">
        <v>226</v>
      </c>
      <c r="D13" s="84"/>
      <c r="E13" s="84"/>
      <c r="F13" s="84"/>
      <c r="G13" s="84"/>
      <c r="H13" s="84"/>
      <c r="J13" s="1"/>
    </row>
    <row r="14" spans="1:12" ht="15" customHeight="1" x14ac:dyDescent="0.35">
      <c r="A14" s="84"/>
      <c r="B14" s="30"/>
      <c r="C14" s="87" t="s">
        <v>81</v>
      </c>
      <c r="D14" s="84"/>
      <c r="E14" s="84"/>
      <c r="F14" s="84"/>
      <c r="G14" s="84"/>
      <c r="H14" s="84"/>
      <c r="J14" s="8"/>
      <c r="K14" s="8"/>
      <c r="L14" s="1"/>
    </row>
    <row r="15" spans="1:12" ht="15" customHeight="1" x14ac:dyDescent="0.35">
      <c r="A15" s="84"/>
      <c r="B15" s="31"/>
      <c r="C15" s="87" t="s">
        <v>80</v>
      </c>
      <c r="D15" s="84"/>
      <c r="E15" s="84"/>
      <c r="F15" s="84"/>
      <c r="G15" s="84"/>
      <c r="H15" s="84"/>
      <c r="J15" s="8"/>
      <c r="K15" s="8"/>
      <c r="L15" s="1"/>
    </row>
    <row r="16" spans="1:12" ht="15" customHeight="1" x14ac:dyDescent="0.35">
      <c r="A16" s="84"/>
      <c r="B16" s="29"/>
      <c r="C16" s="87" t="s">
        <v>79</v>
      </c>
      <c r="D16" s="84"/>
      <c r="E16" s="84"/>
      <c r="F16" s="84"/>
      <c r="G16" s="84"/>
      <c r="H16" s="84"/>
      <c r="J16" s="8"/>
      <c r="K16" s="8"/>
      <c r="L16" s="1"/>
    </row>
    <row r="17" spans="1:12" ht="15" customHeight="1" x14ac:dyDescent="0.35">
      <c r="A17" s="84"/>
      <c r="B17" s="56"/>
      <c r="C17" s="87" t="s">
        <v>189</v>
      </c>
      <c r="D17" s="84"/>
      <c r="E17" s="84"/>
      <c r="F17" s="84"/>
      <c r="G17" s="84"/>
      <c r="H17" s="84"/>
      <c r="J17" s="8"/>
      <c r="K17" s="8"/>
      <c r="L17" s="1"/>
    </row>
    <row r="18" spans="1:12" ht="15" customHeight="1" x14ac:dyDescent="0.35">
      <c r="A18" s="84"/>
      <c r="B18" s="102"/>
      <c r="C18" s="87"/>
      <c r="D18" s="84"/>
      <c r="E18" s="84"/>
      <c r="F18" s="84"/>
      <c r="G18" s="84"/>
      <c r="H18" s="84"/>
      <c r="J18" s="8"/>
      <c r="K18" s="8"/>
      <c r="L18" s="1"/>
    </row>
    <row r="19" spans="1:12" x14ac:dyDescent="0.25">
      <c r="A19" s="84"/>
      <c r="B19" s="84"/>
      <c r="C19" s="84"/>
      <c r="D19" s="84"/>
      <c r="E19" s="84"/>
      <c r="F19" s="84"/>
      <c r="G19" s="84"/>
      <c r="H19" s="84"/>
      <c r="I19" s="1"/>
    </row>
    <row r="20" spans="1:12" x14ac:dyDescent="0.25">
      <c r="A20" s="84"/>
      <c r="B20" s="2"/>
      <c r="C20" s="2"/>
      <c r="D20" s="33" t="s">
        <v>187</v>
      </c>
      <c r="E20" s="33" t="s">
        <v>13</v>
      </c>
      <c r="F20" s="33" t="s">
        <v>8</v>
      </c>
      <c r="G20" s="33" t="s">
        <v>9</v>
      </c>
      <c r="H20" s="52" t="s">
        <v>26</v>
      </c>
    </row>
    <row r="21" spans="1:12" x14ac:dyDescent="0.25">
      <c r="A21" s="84"/>
      <c r="B21" s="2"/>
      <c r="C21" s="2"/>
      <c r="D21" s="64">
        <v>1.3</v>
      </c>
      <c r="E21" s="65">
        <v>15</v>
      </c>
      <c r="F21" s="64">
        <v>1.2</v>
      </c>
      <c r="G21" s="64">
        <v>1.2</v>
      </c>
      <c r="H21" s="52">
        <f>G21*F21</f>
        <v>1.44</v>
      </c>
    </row>
    <row r="22" spans="1:12" x14ac:dyDescent="0.25">
      <c r="A22" s="84"/>
      <c r="B22" s="2"/>
      <c r="C22" s="2"/>
      <c r="D22" s="3"/>
      <c r="E22" s="18"/>
      <c r="F22" s="6"/>
      <c r="G22" s="6"/>
      <c r="H22" s="3"/>
    </row>
    <row r="23" spans="1:12" ht="15.75" thickBot="1" x14ac:dyDescent="0.3">
      <c r="A23" s="84"/>
      <c r="B23" s="20" t="s">
        <v>11</v>
      </c>
      <c r="C23" s="20" t="s">
        <v>16</v>
      </c>
      <c r="D23" s="21" t="s">
        <v>17</v>
      </c>
      <c r="E23" s="21" t="s">
        <v>27</v>
      </c>
      <c r="F23" s="22" t="s">
        <v>18</v>
      </c>
      <c r="G23" s="22" t="s">
        <v>29</v>
      </c>
      <c r="H23" s="21" t="s">
        <v>19</v>
      </c>
    </row>
    <row r="24" spans="1:12" ht="15.75" thickTop="1" x14ac:dyDescent="0.25">
      <c r="A24" s="84"/>
      <c r="B24" s="34" t="str">
        <f>IFERROR(VLOOKUP(C24,Dati!$A$22:$C$25,2,FALSE),"")</f>
        <v>0015/P</v>
      </c>
      <c r="C24" s="68" t="s">
        <v>42</v>
      </c>
      <c r="D24" s="19">
        <f>IFERROR(VLOOKUP(C24,Dati!$A$22:$C$25,3,FALSE),"")</f>
        <v>0.16500000000000001</v>
      </c>
      <c r="E24" s="5">
        <f>D24*(1-$E$21/100)</f>
        <v>0.14025000000000001</v>
      </c>
      <c r="F24" s="11" t="s">
        <v>0</v>
      </c>
      <c r="G24" s="11">
        <f>(50+30*ISNUMBER(FIND(15,C24)))*F21*G21</f>
        <v>115.19999999999999</v>
      </c>
      <c r="H24" s="11">
        <f>E24*G24</f>
        <v>16.1568</v>
      </c>
    </row>
    <row r="25" spans="1:12" ht="15.75" customHeight="1" x14ac:dyDescent="0.25">
      <c r="A25" s="84"/>
      <c r="B25" s="3" t="s">
        <v>296</v>
      </c>
      <c r="C25" s="26" t="s">
        <v>249</v>
      </c>
      <c r="D25" s="4">
        <v>12</v>
      </c>
      <c r="E25" s="5">
        <f>D25*(1-$E$21/100)</f>
        <v>10.199999999999999</v>
      </c>
      <c r="F25" s="4" t="s">
        <v>0</v>
      </c>
      <c r="G25" s="4">
        <f>F21</f>
        <v>1.2</v>
      </c>
      <c r="H25" s="4">
        <f t="shared" ref="H25:H36" si="0">E25*G25</f>
        <v>12.239999999999998</v>
      </c>
    </row>
    <row r="26" spans="1:12" x14ac:dyDescent="0.25">
      <c r="A26" s="84"/>
      <c r="B26" s="73">
        <f>IF($C$24="Lamella 15 mm",Dati!$B$41,IF($C$24="Lamella 15 mm perf",Dati!$B$41,Dati!$B$40))</f>
        <v>1020</v>
      </c>
      <c r="C26" s="74" t="str">
        <f>IF($C$24="Lamella 15 mm",Dati!$A$41,IF($C$24="Lamella 15 mm perf",Dati!$A$41,Dati!$A$40))</f>
        <v>Terilene 15 mm</v>
      </c>
      <c r="D26" s="75">
        <f>IF($C$24="Lamella 15 mm",Dati!$C$41,IF($C$24="Lamella 15 mm perf",Dati!$C$41,Dati!$C$40))</f>
        <v>0.09</v>
      </c>
      <c r="E26" s="5">
        <f t="shared" ref="E26:E36" si="1">D26*(1-$E$21/100)</f>
        <v>7.6499999999999999E-2</v>
      </c>
      <c r="F26" s="4" t="s">
        <v>0</v>
      </c>
      <c r="G26" s="4">
        <f>G28*G21</f>
        <v>4.8</v>
      </c>
      <c r="H26" s="4">
        <f t="shared" si="0"/>
        <v>0.36719999999999997</v>
      </c>
    </row>
    <row r="27" spans="1:12" x14ac:dyDescent="0.25">
      <c r="A27" s="84"/>
      <c r="B27" s="9">
        <v>1021</v>
      </c>
      <c r="C27" s="2" t="s">
        <v>2</v>
      </c>
      <c r="D27" s="5">
        <v>4.4999999999999998E-2</v>
      </c>
      <c r="E27" s="5">
        <f t="shared" si="1"/>
        <v>3.8249999999999999E-2</v>
      </c>
      <c r="F27" s="4" t="s">
        <v>0</v>
      </c>
      <c r="G27" s="4">
        <f>G21*2+F21</f>
        <v>3.5999999999999996</v>
      </c>
      <c r="H27" s="4">
        <f t="shared" si="0"/>
        <v>0.13769999999999999</v>
      </c>
    </row>
    <row r="28" spans="1:12" x14ac:dyDescent="0.25">
      <c r="A28" s="84"/>
      <c r="B28" s="36" t="str">
        <f>IFERROR(VLOOKUP(C28,Dati!$A$46:$C$47,2,FALSE),"")</f>
        <v>910/C</v>
      </c>
      <c r="C28" s="79" t="s">
        <v>236</v>
      </c>
      <c r="D28" s="5">
        <f>IFERROR(VLOOKUP(C28,Dati!$A$46:$C$47,3,FALSE),"")</f>
        <v>0.06</v>
      </c>
      <c r="E28" s="5">
        <f t="shared" si="1"/>
        <v>5.0999999999999997E-2</v>
      </c>
      <c r="F28" s="4" t="s">
        <v>4</v>
      </c>
      <c r="G28" s="4">
        <f>IF(F21&lt;(0.86-0.21*ISNUMBER(FIND("15",$C$24))),2,IF(F21&lt;(1.44-0.35*ISNUMBER(FIND("15",$C$24))),3,IF(F21&lt;(2.1-0.6*ISNUMBER(FIND("15",$C$24))),4,IF(F21&lt;(2.3-0.4*ISNUMBER(FIND("15",$C$24))),5,IF(F21&lt;=(2.6-0.4*ISNUMBER(FIND("15",$C$24))),6,IF(F21&gt;(2.6-0.4*ISNUMBER(FIND("15",$C$24))),7))))))</f>
        <v>4</v>
      </c>
      <c r="H28" s="4">
        <f t="shared" si="0"/>
        <v>0.20399999999999999</v>
      </c>
    </row>
    <row r="29" spans="1:12" x14ac:dyDescent="0.25">
      <c r="A29" s="84"/>
      <c r="B29" s="9" t="str">
        <f>IFERROR(VLOOKUP(C29,Dati!$A$49:$C$50,2,FALSE),"")</f>
        <v>911/C</v>
      </c>
      <c r="C29" s="79" t="s">
        <v>240</v>
      </c>
      <c r="D29" s="5">
        <f>IFERROR(VLOOKUP(C29,Dati!$A$49:$C$50,3,FALSE),"")</f>
        <v>0.09</v>
      </c>
      <c r="E29" s="5">
        <f t="shared" si="1"/>
        <v>7.6499999999999999E-2</v>
      </c>
      <c r="F29" s="4" t="s">
        <v>4</v>
      </c>
      <c r="G29" s="4">
        <v>2</v>
      </c>
      <c r="H29" s="4">
        <f t="shared" si="0"/>
        <v>0.153</v>
      </c>
    </row>
    <row r="30" spans="1:12" x14ac:dyDescent="0.25">
      <c r="A30" s="84"/>
      <c r="B30" s="9" t="s">
        <v>233</v>
      </c>
      <c r="C30" s="2" t="s">
        <v>37</v>
      </c>
      <c r="D30" s="5">
        <v>0.4</v>
      </c>
      <c r="E30" s="5">
        <f t="shared" si="1"/>
        <v>0.34</v>
      </c>
      <c r="F30" s="4" t="s">
        <v>4</v>
      </c>
      <c r="G30" s="4">
        <v>1</v>
      </c>
      <c r="H30" s="4">
        <f t="shared" si="0"/>
        <v>0.34</v>
      </c>
    </row>
    <row r="31" spans="1:12" x14ac:dyDescent="0.25">
      <c r="A31" s="84"/>
      <c r="B31" s="9">
        <v>917</v>
      </c>
      <c r="C31" s="2" t="s">
        <v>38</v>
      </c>
      <c r="D31" s="5">
        <v>0.04</v>
      </c>
      <c r="E31" s="5">
        <f t="shared" si="1"/>
        <v>3.4000000000000002E-2</v>
      </c>
      <c r="F31" s="4" t="s">
        <v>4</v>
      </c>
      <c r="G31" s="4">
        <v>1</v>
      </c>
      <c r="H31" s="4">
        <f t="shared" si="0"/>
        <v>3.4000000000000002E-2</v>
      </c>
    </row>
    <row r="32" spans="1:12" x14ac:dyDescent="0.25">
      <c r="A32" s="84"/>
      <c r="B32" s="9" t="s">
        <v>234</v>
      </c>
      <c r="C32" s="2" t="s">
        <v>238</v>
      </c>
      <c r="D32" s="5">
        <v>0.02</v>
      </c>
      <c r="E32" s="5">
        <f t="shared" si="1"/>
        <v>1.7000000000000001E-2</v>
      </c>
      <c r="F32" s="24" t="s">
        <v>4</v>
      </c>
      <c r="G32" s="24">
        <f>IF(F21&lt;(0.86-0.21*ISNUMBER(FIND("15",$C$24))),2,IF(F21&lt;(1.44-0.35*ISNUMBER(FIND("15",$C$24))),3,IF(F21&lt;(2.1-0.6*ISNUMBER(FIND("15",$C$24))),4,IF(F21&lt;(2.3-0.4*ISNUMBER(FIND("15",$C$24))),5,IF(F21&lt;=(2.6-0.4*ISNUMBER(FIND("15",$C$24))),6,IF(F21&gt;(2.6-0.4*ISNUMBER(FIND("15",$C$24))),7))))))*2</f>
        <v>8</v>
      </c>
      <c r="H32" s="24">
        <f t="shared" si="0"/>
        <v>0.13600000000000001</v>
      </c>
    </row>
    <row r="33" spans="1:9" x14ac:dyDescent="0.25">
      <c r="A33" s="84"/>
      <c r="B33" s="36" t="str">
        <f>IFERROR(VLOOKUP(C33,Dati!$A$58:$C$60,2,FALSE),"")</f>
        <v>940/A</v>
      </c>
      <c r="C33" s="66" t="s">
        <v>50</v>
      </c>
      <c r="D33" s="5">
        <f>IFERROR(VLOOKUP(C33,Dati!$A$58:$C$60,3,FALSE),"")</f>
        <v>0.31</v>
      </c>
      <c r="E33" s="5">
        <f t="shared" si="1"/>
        <v>0.26350000000000001</v>
      </c>
      <c r="F33" s="24" t="s">
        <v>0</v>
      </c>
      <c r="G33" s="24">
        <f>G21</f>
        <v>1.2</v>
      </c>
      <c r="H33" s="24">
        <f t="shared" si="0"/>
        <v>0.31619999999999998</v>
      </c>
    </row>
    <row r="34" spans="1:9" x14ac:dyDescent="0.25">
      <c r="A34" s="84"/>
      <c r="B34" s="9">
        <v>941</v>
      </c>
      <c r="C34" s="2" t="s">
        <v>46</v>
      </c>
      <c r="D34" s="5">
        <v>0.05</v>
      </c>
      <c r="E34" s="5">
        <f t="shared" si="1"/>
        <v>4.2500000000000003E-2</v>
      </c>
      <c r="F34" s="24" t="s">
        <v>4</v>
      </c>
      <c r="G34" s="24">
        <v>1</v>
      </c>
      <c r="H34" s="24">
        <f t="shared" si="0"/>
        <v>4.2500000000000003E-2</v>
      </c>
    </row>
    <row r="35" spans="1:9" x14ac:dyDescent="0.25">
      <c r="A35" s="84"/>
      <c r="B35" s="9">
        <v>942</v>
      </c>
      <c r="C35" s="2" t="s">
        <v>47</v>
      </c>
      <c r="D35" s="5">
        <v>0.06</v>
      </c>
      <c r="E35" s="5">
        <f t="shared" si="1"/>
        <v>5.0999999999999997E-2</v>
      </c>
      <c r="F35" s="24" t="s">
        <v>4</v>
      </c>
      <c r="G35" s="24">
        <v>1</v>
      </c>
      <c r="H35" s="24">
        <f t="shared" si="0"/>
        <v>5.0999999999999997E-2</v>
      </c>
    </row>
    <row r="36" spans="1:9" x14ac:dyDescent="0.25">
      <c r="A36" s="84"/>
      <c r="B36" s="73">
        <f>IF($C$24="Lamella 15 mm",Dati!$B$43,IF($C$24="Lamella 15 mm perf",Dati!$B$43,Dati!$B$44))</f>
        <v>1007</v>
      </c>
      <c r="C36" s="74" t="str">
        <f>IF($C$24="Lamella 15 mm",Dati!$A$43,IF($C$24="Lamella 15 mm perf",Dati!$A$43,Dati!$A$44))</f>
        <v>Salvaterilene 15 mm</v>
      </c>
      <c r="D36" s="5">
        <v>2.5000000000000001E-2</v>
      </c>
      <c r="E36" s="5">
        <f t="shared" si="1"/>
        <v>2.1250000000000002E-2</v>
      </c>
      <c r="F36" s="24" t="s">
        <v>4</v>
      </c>
      <c r="G36" s="24">
        <f>IF(F21&lt;(0.86-0.21*ISNUMBER(FIND("15",$C$20))),2,IF(F21&lt;(1.44-0.35*ISNUMBER(FIND("15",$C$20))),3,IF(F21&lt;(2.1-0.6*ISNUMBER(FIND("15",$C$20))),4,IF(F21&lt;(2.3-0.4*ISNUMBER(FIND("15",$C$20))),5,IF(F21&lt;=(2.6-0.4*ISNUMBER(FIND("15",$C$20))),6,IF(F21&gt;(2.6-0.4*ISNUMBER(FIND("15",$C$20))),7))))))</f>
        <v>3</v>
      </c>
      <c r="H36" s="24">
        <f t="shared" si="0"/>
        <v>6.3750000000000001E-2</v>
      </c>
    </row>
    <row r="37" spans="1:9" ht="15.75" thickBot="1" x14ac:dyDescent="0.3">
      <c r="A37" s="84"/>
      <c r="B37" s="2"/>
      <c r="C37" s="2"/>
      <c r="D37" s="3"/>
      <c r="E37" s="5"/>
      <c r="F37" s="116" t="s">
        <v>12</v>
      </c>
      <c r="G37" s="116"/>
      <c r="H37" s="16">
        <f>SUM(H25:H36)</f>
        <v>14.085350000000002</v>
      </c>
    </row>
    <row r="38" spans="1:9" ht="15.75" thickTop="1" x14ac:dyDescent="0.25">
      <c r="A38" s="84"/>
      <c r="B38" s="2"/>
      <c r="C38" s="2"/>
      <c r="D38" s="3"/>
      <c r="E38" s="3"/>
      <c r="F38" s="117" t="s">
        <v>7</v>
      </c>
      <c r="G38" s="117"/>
      <c r="H38" s="7">
        <f>IF(H21&gt;=1,H37/H21,H37*H21)</f>
        <v>9.7814930555555577</v>
      </c>
    </row>
    <row r="39" spans="1:9" x14ac:dyDescent="0.25">
      <c r="A39" s="84"/>
      <c r="B39" s="84"/>
      <c r="C39" s="84"/>
      <c r="D39" s="84"/>
      <c r="E39" s="84"/>
      <c r="F39" s="84"/>
      <c r="G39" s="84"/>
      <c r="H39" s="84"/>
    </row>
    <row r="40" spans="1:9" x14ac:dyDescent="0.25">
      <c r="A40" s="84"/>
      <c r="B40" s="84"/>
      <c r="C40" s="84"/>
      <c r="D40" s="84"/>
      <c r="E40" s="84"/>
      <c r="F40" s="113" t="s">
        <v>20</v>
      </c>
      <c r="G40" s="113"/>
      <c r="H40" s="67">
        <v>25</v>
      </c>
    </row>
    <row r="41" spans="1:9" x14ac:dyDescent="0.25">
      <c r="A41" s="84"/>
      <c r="B41" s="84"/>
      <c r="C41" s="84"/>
      <c r="D41" s="84"/>
      <c r="E41" s="84"/>
      <c r="F41" s="113" t="s">
        <v>10</v>
      </c>
      <c r="G41" s="113"/>
      <c r="H41" s="17">
        <f>(H40-H38)/H40</f>
        <v>0.60874027777777773</v>
      </c>
    </row>
    <row r="42" spans="1:9" x14ac:dyDescent="0.25">
      <c r="A42" s="84"/>
      <c r="B42" s="84"/>
      <c r="C42" s="84"/>
      <c r="D42" s="84"/>
      <c r="E42" s="84"/>
      <c r="F42" s="115" t="s">
        <v>186</v>
      </c>
      <c r="G42" s="115"/>
      <c r="H42" s="54">
        <f>IF(H21&lt;D21,H40*D21,H40*H21)</f>
        <v>36</v>
      </c>
    </row>
    <row r="43" spans="1:9" x14ac:dyDescent="0.25">
      <c r="A43" s="84"/>
      <c r="B43" s="84"/>
      <c r="C43" s="84"/>
      <c r="D43" s="84"/>
      <c r="E43" s="84"/>
      <c r="F43" s="115" t="s">
        <v>188</v>
      </c>
      <c r="G43" s="115"/>
      <c r="H43" s="55">
        <f>(H42-H37)/H42</f>
        <v>0.60874027777777773</v>
      </c>
      <c r="I43" s="13"/>
    </row>
    <row r="44" spans="1:9" ht="15.75" thickBot="1" x14ac:dyDescent="0.3">
      <c r="A44" s="84"/>
      <c r="B44" s="114" t="s">
        <v>25</v>
      </c>
      <c r="C44" s="114"/>
      <c r="D44" s="84"/>
      <c r="E44" s="84"/>
      <c r="F44" s="84"/>
      <c r="G44" s="84"/>
      <c r="H44" s="84"/>
    </row>
    <row r="45" spans="1:9" x14ac:dyDescent="0.25">
      <c r="A45" s="84"/>
      <c r="B45" s="100"/>
      <c r="C45" s="100"/>
      <c r="D45" s="84"/>
      <c r="E45" s="84"/>
      <c r="F45" s="84"/>
      <c r="G45" s="84"/>
      <c r="H45" s="84"/>
    </row>
    <row r="46" spans="1:9" ht="15.75" thickBot="1" x14ac:dyDescent="0.3">
      <c r="A46" s="84"/>
      <c r="B46" s="20" t="s">
        <v>11</v>
      </c>
      <c r="C46" s="20" t="s">
        <v>16</v>
      </c>
      <c r="D46" s="21" t="s">
        <v>17</v>
      </c>
      <c r="E46" s="21" t="s">
        <v>27</v>
      </c>
      <c r="F46" s="22" t="s">
        <v>18</v>
      </c>
      <c r="G46" s="22" t="s">
        <v>29</v>
      </c>
      <c r="H46" s="21" t="s">
        <v>19</v>
      </c>
    </row>
    <row r="47" spans="1:9" ht="15.75" thickTop="1" x14ac:dyDescent="0.25">
      <c r="A47" s="84"/>
      <c r="B47" s="9">
        <v>918</v>
      </c>
      <c r="C47" s="2" t="s">
        <v>248</v>
      </c>
      <c r="D47" s="5">
        <v>0.11</v>
      </c>
      <c r="E47" s="5">
        <f t="shared" ref="E47:E50" si="2">D47*(1-$E$21/100)</f>
        <v>9.35E-2</v>
      </c>
      <c r="F47" s="4" t="s">
        <v>0</v>
      </c>
      <c r="G47" s="3">
        <f>2*G21</f>
        <v>2.4</v>
      </c>
      <c r="H47" s="4">
        <f t="shared" ref="H47:H50" si="3">E47*G47</f>
        <v>0.22439999999999999</v>
      </c>
    </row>
    <row r="48" spans="1:9" x14ac:dyDescent="0.25">
      <c r="A48" s="84"/>
      <c r="B48" s="92">
        <v>913</v>
      </c>
      <c r="C48" s="86" t="s">
        <v>252</v>
      </c>
      <c r="D48" s="93">
        <v>0.15</v>
      </c>
      <c r="E48" s="5">
        <f t="shared" si="2"/>
        <v>0.1275</v>
      </c>
      <c r="F48" s="89" t="s">
        <v>4</v>
      </c>
      <c r="G48" s="88">
        <v>2</v>
      </c>
      <c r="H48" s="89">
        <f t="shared" si="3"/>
        <v>0.255</v>
      </c>
    </row>
    <row r="49" spans="1:8" x14ac:dyDescent="0.25">
      <c r="A49" s="84"/>
      <c r="B49" s="36">
        <f>IFERROR(VLOOKUP(C49,Dati!$A$62:$C$64,2,FALSE),"")</f>
        <v>914</v>
      </c>
      <c r="C49" s="66" t="s">
        <v>89</v>
      </c>
      <c r="D49" s="5">
        <f>IFERROR(VLOOKUP(C49,Dati!$A$62:$C$64,3,FALSE),"")</f>
        <v>0.22</v>
      </c>
      <c r="E49" s="5">
        <f t="shared" si="2"/>
        <v>0.187</v>
      </c>
      <c r="F49" s="4" t="s">
        <v>4</v>
      </c>
      <c r="G49" s="3">
        <v>2</v>
      </c>
      <c r="H49" s="4">
        <f t="shared" si="3"/>
        <v>0.374</v>
      </c>
    </row>
    <row r="50" spans="1:8" x14ac:dyDescent="0.25">
      <c r="A50" s="84"/>
      <c r="B50" s="9" t="str">
        <f>IFERROR(VLOOKUP(C50,Dati!$A$55:$C$56,2,FALSE),"")</f>
        <v>911/OC</v>
      </c>
      <c r="C50" s="79" t="s">
        <v>243</v>
      </c>
      <c r="D50" s="5">
        <f>IFERROR(VLOOKUP(C50,Dati!$A$55:$C$56,3,FALSE),"")</f>
        <v>0.09</v>
      </c>
      <c r="E50" s="5">
        <f t="shared" si="2"/>
        <v>7.6499999999999999E-2</v>
      </c>
      <c r="F50" s="24" t="s">
        <v>4</v>
      </c>
      <c r="G50" s="15">
        <v>2</v>
      </c>
      <c r="H50" s="4">
        <f t="shared" si="3"/>
        <v>0.153</v>
      </c>
    </row>
    <row r="51" spans="1:8" ht="15.75" thickBot="1" x14ac:dyDescent="0.3">
      <c r="A51" s="84"/>
      <c r="B51" s="2"/>
      <c r="C51" s="2"/>
      <c r="D51" s="3"/>
      <c r="E51" s="3"/>
      <c r="F51" s="116" t="s">
        <v>14</v>
      </c>
      <c r="G51" s="116"/>
      <c r="H51" s="16">
        <f>SUM(H47:H50)</f>
        <v>1.0064</v>
      </c>
    </row>
    <row r="52" spans="1:8" ht="15.75" thickTop="1" x14ac:dyDescent="0.25">
      <c r="A52" s="84"/>
      <c r="B52" s="84"/>
      <c r="C52" s="84"/>
      <c r="D52" s="84"/>
      <c r="E52" s="84"/>
      <c r="F52" s="84"/>
      <c r="G52" s="84"/>
      <c r="H52" s="84"/>
    </row>
    <row r="53" spans="1:8" x14ac:dyDescent="0.25">
      <c r="A53" s="84"/>
      <c r="B53" s="84"/>
      <c r="C53" s="84"/>
      <c r="D53" s="84"/>
      <c r="E53" s="84"/>
      <c r="F53" s="113" t="s">
        <v>28</v>
      </c>
      <c r="G53" s="113"/>
      <c r="H53" s="67">
        <v>1.5</v>
      </c>
    </row>
    <row r="54" spans="1:8" x14ac:dyDescent="0.25">
      <c r="A54" s="84"/>
      <c r="B54" s="84"/>
      <c r="C54" s="84"/>
      <c r="D54" s="84"/>
      <c r="E54" s="84"/>
      <c r="F54" s="113" t="s">
        <v>10</v>
      </c>
      <c r="G54" s="113"/>
      <c r="H54" s="17">
        <f>(H53-H51)/H53</f>
        <v>0.32906666666666667</v>
      </c>
    </row>
    <row r="55" spans="1:8" x14ac:dyDescent="0.25">
      <c r="A55" s="84"/>
      <c r="B55" s="84"/>
      <c r="C55" s="84"/>
      <c r="D55" s="84"/>
      <c r="E55" s="84"/>
      <c r="F55" s="84"/>
      <c r="G55" s="84"/>
      <c r="H55" s="84"/>
    </row>
  </sheetData>
  <sheetProtection formatCells="0" formatColumns="0" formatRows="0" insertColumns="0" insertRows="0" insertHyperlinks="0" deleteColumns="0" deleteRows="0" sort="0" autoFilter="0" pivotTables="0"/>
  <mergeCells count="11">
    <mergeCell ref="F51:G51"/>
    <mergeCell ref="F53:G53"/>
    <mergeCell ref="F54:G54"/>
    <mergeCell ref="B9:H10"/>
    <mergeCell ref="F37:G37"/>
    <mergeCell ref="F38:G38"/>
    <mergeCell ref="F40:G40"/>
    <mergeCell ref="F41:G41"/>
    <mergeCell ref="B44:C44"/>
    <mergeCell ref="F42:G42"/>
    <mergeCell ref="F43:G43"/>
  </mergeCells>
  <dataValidations count="6">
    <dataValidation type="list" allowBlank="1" showInputMessage="1" showErrorMessage="1" sqref="C49">
      <formula1>Morsettino</formula1>
    </dataValidation>
    <dataValidation type="list" allowBlank="1" showInputMessage="1" showErrorMessage="1" sqref="C24">
      <formula1>Lamella15</formula1>
    </dataValidation>
    <dataValidation type="list" allowBlank="1" showInputMessage="1" showErrorMessage="1" sqref="C50">
      <formula1>Occhiello</formula1>
    </dataValidation>
    <dataValidation type="list" allowBlank="1" showInputMessage="1" showErrorMessage="1" sqref="C29">
      <formula1>TappoSpiaggiale</formula1>
    </dataValidation>
    <dataValidation type="list" allowBlank="1" showInputMessage="1" showErrorMessage="1" sqref="C28">
      <formula1>FermaTerilene</formula1>
    </dataValidation>
    <dataValidation type="list" allowBlank="1" showInputMessage="1" showErrorMessage="1" sqref="C33">
      <formula1>Asta</formula1>
    </dataValidation>
  </dataValidations>
  <pageMargins left="0.11811023622047245" right="0.11811023622047245" top="0.11811023622047245" bottom="0" header="0.31496062992125984" footer="0.31496062992125984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H27" sqref="H27"/>
    </sheetView>
  </sheetViews>
  <sheetFormatPr defaultColWidth="8.85546875" defaultRowHeight="15" x14ac:dyDescent="0.25"/>
  <cols>
    <col min="1" max="1" width="3" customWidth="1"/>
    <col min="2" max="2" width="11.140625" customWidth="1"/>
    <col min="3" max="3" width="29.42578125" customWidth="1"/>
    <col min="4" max="4" width="9.85546875" customWidth="1"/>
    <col min="5" max="5" width="12.7109375" customWidth="1"/>
    <col min="6" max="6" width="9.140625" customWidth="1"/>
    <col min="7" max="7" width="10.7109375" customWidth="1"/>
    <col min="8" max="8" width="14.85546875" customWidth="1"/>
    <col min="9" max="9" width="1.85546875" customWidth="1"/>
  </cols>
  <sheetData>
    <row r="1" spans="1:12" x14ac:dyDescent="0.25">
      <c r="A1" s="84"/>
      <c r="B1" s="84"/>
      <c r="C1" s="84"/>
      <c r="D1" s="84"/>
      <c r="E1" s="84"/>
      <c r="F1" s="84"/>
      <c r="G1" s="84"/>
      <c r="H1" s="84"/>
    </row>
    <row r="2" spans="1:12" x14ac:dyDescent="0.25">
      <c r="A2" s="84"/>
      <c r="B2" s="84"/>
      <c r="C2" s="84"/>
      <c r="D2" s="84"/>
      <c r="E2" s="84"/>
      <c r="F2" s="84"/>
      <c r="G2" s="84"/>
      <c r="H2" s="84"/>
    </row>
    <row r="3" spans="1:12" x14ac:dyDescent="0.25">
      <c r="A3" s="84"/>
      <c r="B3" s="84"/>
      <c r="C3" s="84"/>
      <c r="D3" s="84"/>
      <c r="E3" s="84"/>
      <c r="F3" s="84"/>
      <c r="G3" s="84"/>
      <c r="H3" s="84"/>
    </row>
    <row r="4" spans="1:12" x14ac:dyDescent="0.25">
      <c r="A4" s="84"/>
      <c r="B4" s="84"/>
      <c r="C4" s="84"/>
      <c r="D4" s="84"/>
      <c r="E4" s="84"/>
      <c r="F4" s="84"/>
      <c r="G4" s="84"/>
      <c r="H4" s="84"/>
    </row>
    <row r="5" spans="1:12" x14ac:dyDescent="0.25">
      <c r="A5" s="84"/>
      <c r="B5" s="84"/>
      <c r="C5" s="84"/>
      <c r="D5" s="84"/>
      <c r="E5" s="84"/>
      <c r="F5" s="84"/>
      <c r="G5" s="84"/>
      <c r="H5" s="84"/>
    </row>
    <row r="6" spans="1:12" ht="15" customHeight="1" x14ac:dyDescent="0.35">
      <c r="A6" s="84"/>
      <c r="B6" s="107" t="s">
        <v>253</v>
      </c>
      <c r="C6" s="107"/>
      <c r="D6" s="107"/>
      <c r="E6" s="107"/>
      <c r="F6" s="107"/>
      <c r="G6" s="107"/>
      <c r="H6" s="107"/>
      <c r="I6" s="8"/>
    </row>
    <row r="7" spans="1:12" ht="15.75" customHeight="1" thickBot="1" x14ac:dyDescent="0.4">
      <c r="A7" s="84"/>
      <c r="B7" s="108"/>
      <c r="C7" s="108"/>
      <c r="D7" s="108"/>
      <c r="E7" s="108"/>
      <c r="F7" s="108"/>
      <c r="G7" s="108"/>
      <c r="H7" s="108"/>
      <c r="I7" s="8"/>
    </row>
    <row r="8" spans="1:12" ht="15.75" thickTop="1" x14ac:dyDescent="0.25">
      <c r="A8" s="84"/>
      <c r="B8" s="84"/>
      <c r="C8" s="84"/>
      <c r="D8" s="84"/>
      <c r="E8" s="84"/>
      <c r="F8" s="84"/>
      <c r="G8" s="84"/>
      <c r="H8" s="84"/>
    </row>
    <row r="9" spans="1:12" x14ac:dyDescent="0.25">
      <c r="A9" s="84"/>
      <c r="B9" s="12"/>
      <c r="C9" s="87" t="s">
        <v>226</v>
      </c>
      <c r="D9" s="84"/>
      <c r="E9" s="84"/>
      <c r="F9" s="84"/>
      <c r="G9" s="84"/>
      <c r="H9" s="84"/>
      <c r="J9" s="1"/>
    </row>
    <row r="10" spans="1:12" ht="15" customHeight="1" x14ac:dyDescent="0.35">
      <c r="A10" s="84"/>
      <c r="B10" s="30"/>
      <c r="C10" s="87" t="s">
        <v>81</v>
      </c>
      <c r="D10" s="84"/>
      <c r="E10" s="84"/>
      <c r="F10" s="84"/>
      <c r="G10" s="84"/>
      <c r="H10" s="84"/>
      <c r="J10" s="8"/>
      <c r="K10" s="8"/>
      <c r="L10" s="1"/>
    </row>
    <row r="11" spans="1:12" ht="15" customHeight="1" x14ac:dyDescent="0.35">
      <c r="A11" s="84"/>
      <c r="B11" s="31"/>
      <c r="C11" s="87" t="s">
        <v>80</v>
      </c>
      <c r="D11" s="84"/>
      <c r="E11" s="84"/>
      <c r="F11" s="84"/>
      <c r="G11" s="84"/>
      <c r="H11" s="84"/>
      <c r="J11" s="8"/>
      <c r="K11" s="8"/>
      <c r="L11" s="1"/>
    </row>
    <row r="12" spans="1:12" ht="15" customHeight="1" x14ac:dyDescent="0.35">
      <c r="A12" s="84"/>
      <c r="B12" s="29"/>
      <c r="C12" s="87" t="s">
        <v>79</v>
      </c>
      <c r="D12" s="84"/>
      <c r="E12" s="84"/>
      <c r="F12" s="84"/>
      <c r="G12" s="84"/>
      <c r="H12" s="84"/>
      <c r="J12" s="8"/>
      <c r="K12" s="8"/>
      <c r="L12" s="1"/>
    </row>
    <row r="13" spans="1:12" ht="15" customHeight="1" x14ac:dyDescent="0.35">
      <c r="A13" s="84"/>
      <c r="B13" s="56"/>
      <c r="C13" s="87" t="s">
        <v>189</v>
      </c>
      <c r="D13" s="84"/>
      <c r="E13" s="84"/>
      <c r="F13" s="84"/>
      <c r="G13" s="84"/>
      <c r="H13" s="84"/>
      <c r="J13" s="8"/>
      <c r="K13" s="8"/>
      <c r="L13" s="1"/>
    </row>
    <row r="14" spans="1:12" x14ac:dyDescent="0.25">
      <c r="A14" s="84"/>
      <c r="C14" s="84"/>
      <c r="D14" s="84"/>
      <c r="E14" s="84"/>
      <c r="F14" s="84"/>
      <c r="G14" s="84"/>
      <c r="H14" s="84"/>
      <c r="I14" s="1"/>
    </row>
    <row r="15" spans="1:12" x14ac:dyDescent="0.25">
      <c r="A15" s="84"/>
      <c r="B15" s="2"/>
      <c r="C15" s="2"/>
      <c r="D15" s="33" t="s">
        <v>187</v>
      </c>
      <c r="E15" s="33" t="s">
        <v>13</v>
      </c>
      <c r="F15" s="33" t="s">
        <v>8</v>
      </c>
      <c r="G15" s="33" t="s">
        <v>9</v>
      </c>
      <c r="H15" s="52" t="s">
        <v>26</v>
      </c>
    </row>
    <row r="16" spans="1:12" x14ac:dyDescent="0.25">
      <c r="A16" s="84"/>
      <c r="B16" s="2"/>
      <c r="C16" s="2"/>
      <c r="D16" s="64">
        <v>1.3</v>
      </c>
      <c r="E16" s="65">
        <v>10</v>
      </c>
      <c r="F16" s="64">
        <v>2</v>
      </c>
      <c r="G16" s="64">
        <v>2.4</v>
      </c>
      <c r="H16" s="53">
        <f>G16*F16</f>
        <v>4.8</v>
      </c>
    </row>
    <row r="17" spans="1:8" x14ac:dyDescent="0.25">
      <c r="A17" s="84"/>
      <c r="B17" s="2"/>
      <c r="C17" s="2"/>
      <c r="D17" s="3"/>
      <c r="E17" s="18"/>
      <c r="F17" s="6"/>
      <c r="G17" s="6"/>
      <c r="H17" s="3"/>
    </row>
    <row r="18" spans="1:8" ht="15.75" thickBot="1" x14ac:dyDescent="0.3">
      <c r="A18" s="84"/>
      <c r="B18" s="20" t="s">
        <v>11</v>
      </c>
      <c r="C18" s="20" t="s">
        <v>16</v>
      </c>
      <c r="D18" s="21" t="s">
        <v>17</v>
      </c>
      <c r="E18" s="21" t="s">
        <v>27</v>
      </c>
      <c r="F18" s="22" t="s">
        <v>18</v>
      </c>
      <c r="G18" s="22" t="s">
        <v>29</v>
      </c>
      <c r="H18" s="21" t="s">
        <v>19</v>
      </c>
    </row>
    <row r="19" spans="1:8" ht="15.75" thickTop="1" x14ac:dyDescent="0.25">
      <c r="A19" s="84"/>
      <c r="B19" s="34">
        <f>IFERROR(VLOOKUP(C19,Dati!$A$22:$C$25,2,FALSE),"")</f>
        <v>25</v>
      </c>
      <c r="C19" s="68" t="s">
        <v>39</v>
      </c>
      <c r="D19" s="19">
        <f>IFERROR(VLOOKUP(C19,Dati!$A$22:$C$25,3,FALSE),"")</f>
        <v>8.7999999999999995E-2</v>
      </c>
      <c r="E19" s="19">
        <f t="shared" ref="E19:E38" si="0">D19*(1-$E$16/100)</f>
        <v>7.9199999999999993E-2</v>
      </c>
      <c r="F19" s="11" t="s">
        <v>0</v>
      </c>
      <c r="G19" s="10">
        <f>(50+30*ISNUMBER(FIND(15,C19)))*F16*G16</f>
        <v>240</v>
      </c>
      <c r="H19" s="11">
        <f>E19*G19</f>
        <v>19.007999999999999</v>
      </c>
    </row>
    <row r="20" spans="1:8" x14ac:dyDescent="0.25">
      <c r="A20" s="84"/>
      <c r="B20" s="9" t="s">
        <v>254</v>
      </c>
      <c r="C20" s="80" t="s">
        <v>255</v>
      </c>
      <c r="D20" s="4">
        <v>1.7</v>
      </c>
      <c r="E20" s="5">
        <f t="shared" si="0"/>
        <v>1.53</v>
      </c>
      <c r="F20" s="4" t="s">
        <v>0</v>
      </c>
      <c r="G20" s="3">
        <f>F16</f>
        <v>2</v>
      </c>
      <c r="H20" s="4">
        <f t="shared" ref="H20:H39" si="1">E20*G20</f>
        <v>3.06</v>
      </c>
    </row>
    <row r="21" spans="1:8" x14ac:dyDescent="0.25">
      <c r="A21" s="84"/>
      <c r="B21" s="9" t="s">
        <v>33</v>
      </c>
      <c r="C21" s="86" t="s">
        <v>250</v>
      </c>
      <c r="D21" s="5">
        <v>0.4</v>
      </c>
      <c r="E21" s="5">
        <f t="shared" si="0"/>
        <v>0.36000000000000004</v>
      </c>
      <c r="F21" s="4" t="s">
        <v>0</v>
      </c>
      <c r="G21" s="3">
        <f>F16</f>
        <v>2</v>
      </c>
      <c r="H21" s="4">
        <f t="shared" si="1"/>
        <v>0.72000000000000008</v>
      </c>
    </row>
    <row r="22" spans="1:8" x14ac:dyDescent="0.25">
      <c r="A22" s="84"/>
      <c r="B22" s="73">
        <f>IF($C$19="Lamella 15 mm",Dati!$B$41,IF($C$19="Lamella 15 mm perf",Dati!$B$41,Dati!$B$40))</f>
        <v>920</v>
      </c>
      <c r="C22" s="74" t="str">
        <f>IF($C$19="Lamella 15 mm",Dati!$A$41,IF($C$19="Lamella 15 mm perf",Dati!$A$41,Dati!$A$40))</f>
        <v>Terilene 25 mm</v>
      </c>
      <c r="D22" s="75">
        <f>IF($C$19="Lamella 15 mm",Dati!$C$41,IF($C$19="Lamella 15 mm perf",Dati!$C$41,Dati!$C$40))</f>
        <v>7.0000000000000007E-2</v>
      </c>
      <c r="E22" s="75">
        <f t="shared" si="0"/>
        <v>6.3000000000000014E-2</v>
      </c>
      <c r="F22" s="18" t="s">
        <v>0</v>
      </c>
      <c r="G22" s="6">
        <f>G25*G16</f>
        <v>9.6</v>
      </c>
      <c r="H22" s="18">
        <f t="shared" si="1"/>
        <v>0.60480000000000012</v>
      </c>
    </row>
    <row r="23" spans="1:8" x14ac:dyDescent="0.25">
      <c r="A23" s="84"/>
      <c r="B23" s="9">
        <v>921</v>
      </c>
      <c r="C23" s="2" t="s">
        <v>2</v>
      </c>
      <c r="D23" s="5">
        <v>4.4999999999999998E-2</v>
      </c>
      <c r="E23" s="5">
        <f t="shared" si="0"/>
        <v>4.0500000000000001E-2</v>
      </c>
      <c r="F23" s="4" t="s">
        <v>0</v>
      </c>
      <c r="G23" s="3">
        <f>IF($F$16&lt;2.4,G16*G25+F16,(G16*G25*2)+F16*2)</f>
        <v>11.6</v>
      </c>
      <c r="H23" s="4">
        <f t="shared" si="1"/>
        <v>0.4698</v>
      </c>
    </row>
    <row r="24" spans="1:8" x14ac:dyDescent="0.25">
      <c r="A24" s="84"/>
      <c r="B24" s="9" t="s">
        <v>256</v>
      </c>
      <c r="C24" s="2" t="s">
        <v>257</v>
      </c>
      <c r="D24" s="5">
        <v>0.43</v>
      </c>
      <c r="E24" s="5">
        <f t="shared" si="0"/>
        <v>0.38700000000000001</v>
      </c>
      <c r="F24" s="4" t="s">
        <v>4</v>
      </c>
      <c r="G24" s="3">
        <v>1</v>
      </c>
      <c r="H24" s="4">
        <f t="shared" si="1"/>
        <v>0.38700000000000001</v>
      </c>
    </row>
    <row r="25" spans="1:8" x14ac:dyDescent="0.25">
      <c r="A25" s="84"/>
      <c r="B25" s="9" t="s">
        <v>258</v>
      </c>
      <c r="C25" s="2" t="s">
        <v>259</v>
      </c>
      <c r="D25" s="5">
        <v>0.13</v>
      </c>
      <c r="E25" s="5">
        <f t="shared" si="0"/>
        <v>0.11700000000000001</v>
      </c>
      <c r="F25" s="4" t="s">
        <v>4</v>
      </c>
      <c r="G25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25" s="4">
        <f t="shared" si="1"/>
        <v>0.46800000000000003</v>
      </c>
    </row>
    <row r="26" spans="1:8" x14ac:dyDescent="0.25">
      <c r="A26" s="84"/>
      <c r="B26" s="9" t="str">
        <f>IFERROR(VLOOKUP(C26,Dati!$A$34:$C$35,2,FALSE),"")</f>
        <v>905/19</v>
      </c>
      <c r="C26" s="83" t="s">
        <v>265</v>
      </c>
      <c r="D26" s="5">
        <f>IFERROR(VLOOKUP(C26,Dati!$A$34:$C$35,3,FALSE),"")</f>
        <v>0.06</v>
      </c>
      <c r="E26" s="5">
        <f t="shared" si="0"/>
        <v>5.3999999999999999E-2</v>
      </c>
      <c r="F26" s="4" t="s">
        <v>4</v>
      </c>
      <c r="G26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26" s="4">
        <f t="shared" si="1"/>
        <v>0.216</v>
      </c>
    </row>
    <row r="27" spans="1:8" x14ac:dyDescent="0.25">
      <c r="A27" s="84"/>
      <c r="B27" s="9" t="s">
        <v>260</v>
      </c>
      <c r="C27" s="2" t="str">
        <f>IF($F$16&lt;2.4,"Fermacorda","Fermacorda 4 corde")</f>
        <v>Fermacorda</v>
      </c>
      <c r="D27" s="5">
        <v>0.65</v>
      </c>
      <c r="E27" s="5">
        <f t="shared" si="0"/>
        <v>0.58500000000000008</v>
      </c>
      <c r="F27" s="4" t="s">
        <v>4</v>
      </c>
      <c r="G27" s="6">
        <v>1</v>
      </c>
      <c r="H27" s="4">
        <f t="shared" si="1"/>
        <v>0.58500000000000008</v>
      </c>
    </row>
    <row r="28" spans="1:8" x14ac:dyDescent="0.25">
      <c r="A28" s="84"/>
      <c r="B28" s="36">
        <f>IFERROR(VLOOKUP(C28,Dati!$A$46:$C$47,2,FALSE),"")</f>
        <v>910</v>
      </c>
      <c r="C28" s="79" t="s">
        <v>235</v>
      </c>
      <c r="D28" s="5">
        <f>IFERROR(VLOOKUP(C28,Dati!$A$46:$C$47,3,FALSE),"")</f>
        <v>0.03</v>
      </c>
      <c r="E28" s="5">
        <f t="shared" si="0"/>
        <v>2.7E-2</v>
      </c>
      <c r="F28" s="4" t="s">
        <v>4</v>
      </c>
      <c r="G28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28" s="4">
        <f t="shared" si="1"/>
        <v>0.108</v>
      </c>
    </row>
    <row r="29" spans="1:8" x14ac:dyDescent="0.25">
      <c r="A29" s="84"/>
      <c r="B29" s="9">
        <f>IFERROR(VLOOKUP(C29,Dati!$A$49:$C$50,2,FALSE),"")</f>
        <v>911</v>
      </c>
      <c r="C29" s="79" t="s">
        <v>239</v>
      </c>
      <c r="D29" s="5">
        <f>IFERROR(VLOOKUP(C29,Dati!$A$49:$C$50,3,FALSE),"")</f>
        <v>0.05</v>
      </c>
      <c r="E29" s="5">
        <f t="shared" si="0"/>
        <v>4.5000000000000005E-2</v>
      </c>
      <c r="F29" s="4" t="s">
        <v>4</v>
      </c>
      <c r="G29" s="6">
        <v>2</v>
      </c>
      <c r="H29" s="4">
        <f t="shared" si="1"/>
        <v>9.0000000000000011E-2</v>
      </c>
    </row>
    <row r="30" spans="1:8" x14ac:dyDescent="0.25">
      <c r="A30" s="84"/>
      <c r="B30" s="9" t="s">
        <v>233</v>
      </c>
      <c r="C30" s="2" t="s">
        <v>37</v>
      </c>
      <c r="D30" s="5">
        <v>0.4</v>
      </c>
      <c r="E30" s="5">
        <f t="shared" si="0"/>
        <v>0.36000000000000004</v>
      </c>
      <c r="F30" s="4" t="s">
        <v>4</v>
      </c>
      <c r="G30" s="6">
        <v>1</v>
      </c>
      <c r="H30" s="4">
        <f t="shared" si="1"/>
        <v>0.36000000000000004</v>
      </c>
    </row>
    <row r="31" spans="1:8" x14ac:dyDescent="0.25">
      <c r="A31" s="84"/>
      <c r="B31" s="9">
        <v>917</v>
      </c>
      <c r="C31" s="2" t="s">
        <v>38</v>
      </c>
      <c r="D31" s="5">
        <v>0.04</v>
      </c>
      <c r="E31" s="5">
        <f t="shared" si="0"/>
        <v>3.6000000000000004E-2</v>
      </c>
      <c r="F31" s="4" t="s">
        <v>4</v>
      </c>
      <c r="G31" s="6">
        <v>1</v>
      </c>
      <c r="H31" s="4">
        <f t="shared" si="1"/>
        <v>3.6000000000000004E-2</v>
      </c>
    </row>
    <row r="32" spans="1:8" x14ac:dyDescent="0.25">
      <c r="A32" s="84"/>
      <c r="B32" s="36" t="str">
        <f>IFERROR(VLOOKUP(C32,Dati!$A$31:$C$32,2,FALSE),"")</f>
        <v>922/19/L</v>
      </c>
      <c r="C32" s="66" t="s">
        <v>262</v>
      </c>
      <c r="D32" s="5">
        <f>IFERROR(VLOOKUP(C32,Dati!$A$31:$C$32,3,FALSE),"")</f>
        <v>0.27</v>
      </c>
      <c r="E32" s="5">
        <f t="shared" si="0"/>
        <v>0.24300000000000002</v>
      </c>
      <c r="F32" s="4" t="s">
        <v>4</v>
      </c>
      <c r="G32" s="6">
        <f>IF(F16&lt;1.6,2,IF(F16&lt;=2.5,3,IF(F16&gt;2.501,4)))</f>
        <v>3</v>
      </c>
      <c r="H32" s="4">
        <f t="shared" si="1"/>
        <v>0.72900000000000009</v>
      </c>
    </row>
    <row r="33" spans="1:8" x14ac:dyDescent="0.25">
      <c r="A33" s="84"/>
      <c r="B33" s="9" t="str">
        <f>IFERROR(VLOOKUP(C33,Dati!$A$52:$C$53,2,FALSE),"")</f>
        <v>924/C</v>
      </c>
      <c r="C33" s="79" t="s">
        <v>241</v>
      </c>
      <c r="D33" s="5">
        <f>IFERROR(VLOOKUP(C33,Dati!$A$52:$C$53,3,FALSE),"")</f>
        <v>0.1</v>
      </c>
      <c r="E33" s="5">
        <f t="shared" si="0"/>
        <v>9.0000000000000011E-2</v>
      </c>
      <c r="F33" s="4" t="s">
        <v>4</v>
      </c>
      <c r="G33" s="37">
        <v>2</v>
      </c>
      <c r="H33" s="24">
        <f t="shared" si="1"/>
        <v>0.18000000000000002</v>
      </c>
    </row>
    <row r="34" spans="1:8" x14ac:dyDescent="0.25">
      <c r="A34" s="84"/>
      <c r="B34" s="9">
        <v>916</v>
      </c>
      <c r="C34" s="2" t="s">
        <v>31</v>
      </c>
      <c r="D34" s="5">
        <v>0.03</v>
      </c>
      <c r="E34" s="5">
        <f t="shared" si="0"/>
        <v>2.7E-2</v>
      </c>
      <c r="F34" s="24" t="s">
        <v>4</v>
      </c>
      <c r="G34" s="37">
        <v>1</v>
      </c>
      <c r="H34" s="24">
        <f t="shared" si="1"/>
        <v>2.7E-2</v>
      </c>
    </row>
    <row r="35" spans="1:8" x14ac:dyDescent="0.25">
      <c r="A35" s="84"/>
      <c r="B35" s="9" t="s">
        <v>234</v>
      </c>
      <c r="C35" s="2" t="s">
        <v>238</v>
      </c>
      <c r="D35" s="5">
        <v>0.02</v>
      </c>
      <c r="E35" s="5">
        <f t="shared" si="0"/>
        <v>1.8000000000000002E-2</v>
      </c>
      <c r="F35" s="24" t="s">
        <v>4</v>
      </c>
      <c r="G35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*2</f>
        <v>8</v>
      </c>
      <c r="H35" s="24">
        <f t="shared" si="1"/>
        <v>0.14400000000000002</v>
      </c>
    </row>
    <row r="36" spans="1:8" x14ac:dyDescent="0.25">
      <c r="A36" s="84"/>
      <c r="B36" s="36" t="str">
        <f>IFERROR(VLOOKUP(C36,Dati!$A$58:$C$60,2,FALSE),"")</f>
        <v>940/V</v>
      </c>
      <c r="C36" s="66" t="s">
        <v>49</v>
      </c>
      <c r="D36" s="5">
        <f>IFERROR(VLOOKUP(C36,Dati!$A$58:$C$60,3,FALSE),"")</f>
        <v>0.38</v>
      </c>
      <c r="E36" s="5">
        <f t="shared" si="0"/>
        <v>0.34200000000000003</v>
      </c>
      <c r="F36" s="24" t="s">
        <v>0</v>
      </c>
      <c r="G36" s="15">
        <f>G16</f>
        <v>2.4</v>
      </c>
      <c r="H36" s="24">
        <f t="shared" si="1"/>
        <v>0.82080000000000009</v>
      </c>
    </row>
    <row r="37" spans="1:8" x14ac:dyDescent="0.25">
      <c r="A37" s="84"/>
      <c r="B37" s="9">
        <v>941</v>
      </c>
      <c r="C37" s="2" t="s">
        <v>46</v>
      </c>
      <c r="D37" s="5">
        <v>0.05</v>
      </c>
      <c r="E37" s="5">
        <f t="shared" si="0"/>
        <v>4.5000000000000005E-2</v>
      </c>
      <c r="F37" s="24" t="s">
        <v>4</v>
      </c>
      <c r="G37" s="15">
        <v>1</v>
      </c>
      <c r="H37" s="24">
        <f t="shared" si="1"/>
        <v>4.5000000000000005E-2</v>
      </c>
    </row>
    <row r="38" spans="1:8" x14ac:dyDescent="0.25">
      <c r="A38" s="84"/>
      <c r="B38" s="9">
        <v>942</v>
      </c>
      <c r="C38" s="2" t="s">
        <v>47</v>
      </c>
      <c r="D38" s="5">
        <v>0.06</v>
      </c>
      <c r="E38" s="5">
        <f t="shared" si="0"/>
        <v>5.3999999999999999E-2</v>
      </c>
      <c r="F38" s="24" t="s">
        <v>4</v>
      </c>
      <c r="G38" s="15">
        <v>1</v>
      </c>
      <c r="H38" s="24">
        <f t="shared" si="1"/>
        <v>5.3999999999999999E-2</v>
      </c>
    </row>
    <row r="39" spans="1:8" x14ac:dyDescent="0.25">
      <c r="A39" s="84"/>
      <c r="B39" s="73">
        <f>IF($C$19="Lamella 15 mm",Dati!$B$43,IF($C$19="Lamella 15 mm perf",Dati!$B$43,Dati!$B$44))</f>
        <v>907</v>
      </c>
      <c r="C39" s="74" t="str">
        <f>IF($C$19="Lamella 15 mm",Dati!$A$43,IF($C$19="Lamella 15 mm perf",Dati!$A$43,Dati!$A$44))</f>
        <v>Salvaterilene 25 mm</v>
      </c>
      <c r="D39" s="5">
        <v>2.5000000000000001E-2</v>
      </c>
      <c r="E39" s="5">
        <v>2.5000000000000001E-2</v>
      </c>
      <c r="F39" s="24" t="s">
        <v>4</v>
      </c>
      <c r="G39" s="6">
        <f>IF($F$16&lt;(0.86-0.21*ISNUMBER(FIND("15",$C$19))),2,IF($F$16&lt;(1.44-0.35*ISNUMBER(FIND("15",$C$19))),3,IF($F$16&lt;(2.1-0.6*ISNUMBER(FIND("15",$C$19))),4,IF($F$16&lt;(2.3-0.4*ISNUMBER(FIND("15",$C$19))),5,IF($F$16&lt;=(2.6-0.4*ISNUMBER(FIND("15",$C$19))),6,IF($F$16&gt;(2.6-0.4*ISNUMBER(FIND("15",$C$19))),7))))))</f>
        <v>4</v>
      </c>
      <c r="H39" s="24">
        <f t="shared" si="1"/>
        <v>0.1</v>
      </c>
    </row>
    <row r="40" spans="1:8" ht="15.75" thickBot="1" x14ac:dyDescent="0.3">
      <c r="A40" s="84"/>
      <c r="B40" s="86"/>
      <c r="C40" s="86"/>
      <c r="D40" s="3"/>
      <c r="E40" s="5"/>
      <c r="F40" s="109" t="s">
        <v>12</v>
      </c>
      <c r="G40" s="110"/>
      <c r="H40" s="81">
        <f>SUM(H19:H39)</f>
        <v>28.212399999999999</v>
      </c>
    </row>
    <row r="41" spans="1:8" ht="15.75" thickTop="1" x14ac:dyDescent="0.25">
      <c r="A41" s="84"/>
      <c r="B41" s="86"/>
      <c r="C41" s="86"/>
      <c r="D41" s="3"/>
      <c r="E41" s="3"/>
      <c r="F41" s="111" t="s">
        <v>7</v>
      </c>
      <c r="G41" s="112"/>
      <c r="H41" s="7">
        <f>IF(H16&gt;=1,H40/H16,H40*H16)</f>
        <v>5.8775833333333329</v>
      </c>
    </row>
    <row r="42" spans="1:8" x14ac:dyDescent="0.25">
      <c r="A42" s="84"/>
      <c r="B42" s="84"/>
      <c r="C42" s="84"/>
      <c r="D42" s="84"/>
      <c r="E42" s="84"/>
      <c r="F42" s="84"/>
      <c r="G42" s="84"/>
      <c r="H42" s="84"/>
    </row>
    <row r="43" spans="1:8" x14ac:dyDescent="0.25">
      <c r="A43" s="84"/>
      <c r="B43" s="84"/>
      <c r="C43" s="84"/>
      <c r="D43" s="84"/>
      <c r="E43" s="84"/>
      <c r="F43" s="113" t="s">
        <v>20</v>
      </c>
      <c r="G43" s="113"/>
      <c r="H43" s="67">
        <v>24</v>
      </c>
    </row>
    <row r="44" spans="1:8" x14ac:dyDescent="0.25">
      <c r="A44" s="84"/>
      <c r="B44" s="84"/>
      <c r="C44" s="84"/>
      <c r="D44" s="84"/>
      <c r="E44" s="84"/>
      <c r="F44" s="113" t="s">
        <v>10</v>
      </c>
      <c r="G44" s="113"/>
      <c r="H44" s="17">
        <f>(H43-H41)/H43</f>
        <v>0.75510069444444439</v>
      </c>
    </row>
    <row r="45" spans="1:8" x14ac:dyDescent="0.25">
      <c r="A45" s="84"/>
      <c r="B45" s="84"/>
      <c r="C45" s="84"/>
      <c r="D45" s="84"/>
      <c r="E45" s="84"/>
      <c r="F45" s="115" t="s">
        <v>186</v>
      </c>
      <c r="G45" s="115"/>
      <c r="H45" s="54">
        <f>IF(H16&lt;D16,H43*D16,H43*H16)</f>
        <v>115.19999999999999</v>
      </c>
    </row>
    <row r="46" spans="1:8" x14ac:dyDescent="0.25">
      <c r="A46" s="84"/>
      <c r="B46" s="84"/>
      <c r="C46" s="84"/>
      <c r="D46" s="84"/>
      <c r="E46" s="84"/>
      <c r="F46" s="115" t="s">
        <v>188</v>
      </c>
      <c r="G46" s="115"/>
      <c r="H46" s="55">
        <f>(H45-H40)/H45</f>
        <v>0.75510069444444439</v>
      </c>
    </row>
    <row r="47" spans="1:8" ht="15.75" thickBot="1" x14ac:dyDescent="0.3">
      <c r="A47" s="84"/>
      <c r="B47" s="114" t="s">
        <v>25</v>
      </c>
      <c r="C47" s="114"/>
      <c r="D47" s="84"/>
      <c r="E47" s="84"/>
      <c r="F47" s="84"/>
      <c r="G47" s="84"/>
      <c r="H47" s="84"/>
    </row>
    <row r="48" spans="1:8" ht="15.75" thickBot="1" x14ac:dyDescent="0.3">
      <c r="A48" s="84"/>
      <c r="B48" s="90" t="s">
        <v>11</v>
      </c>
      <c r="C48" s="90" t="s">
        <v>16</v>
      </c>
      <c r="D48" s="91" t="s">
        <v>17</v>
      </c>
      <c r="E48" s="91" t="s">
        <v>27</v>
      </c>
      <c r="F48" s="91" t="s">
        <v>18</v>
      </c>
      <c r="G48" s="91" t="s">
        <v>29</v>
      </c>
      <c r="H48" s="91" t="s">
        <v>19</v>
      </c>
    </row>
    <row r="49" spans="1:8" ht="15.75" thickTop="1" x14ac:dyDescent="0.25">
      <c r="A49" s="84"/>
      <c r="B49" s="92">
        <v>918</v>
      </c>
      <c r="C49" s="86" t="s">
        <v>248</v>
      </c>
      <c r="D49" s="93">
        <v>0.11</v>
      </c>
      <c r="E49" s="93">
        <f t="shared" ref="E49:E52" si="2">D49*(1-$E$16/100)</f>
        <v>9.9000000000000005E-2</v>
      </c>
      <c r="F49" s="89" t="s">
        <v>0</v>
      </c>
      <c r="G49" s="88">
        <f>2*G16+0.2</f>
        <v>5</v>
      </c>
      <c r="H49" s="89">
        <f t="shared" ref="H49:H52" si="3">E49*G49</f>
        <v>0.495</v>
      </c>
    </row>
    <row r="50" spans="1:8" x14ac:dyDescent="0.25">
      <c r="A50" s="84"/>
      <c r="B50" s="92">
        <v>913</v>
      </c>
      <c r="C50" s="86" t="s">
        <v>252</v>
      </c>
      <c r="D50" s="93">
        <v>0.15</v>
      </c>
      <c r="E50" s="93">
        <f t="shared" si="2"/>
        <v>0.13500000000000001</v>
      </c>
      <c r="F50" s="89" t="s">
        <v>4</v>
      </c>
      <c r="G50" s="88">
        <v>2</v>
      </c>
      <c r="H50" s="89">
        <f t="shared" si="3"/>
        <v>0.27</v>
      </c>
    </row>
    <row r="51" spans="1:8" x14ac:dyDescent="0.25">
      <c r="A51" s="84"/>
      <c r="B51" s="36" t="str">
        <f>IFERROR(VLOOKUP(C51,Dati!$A$62:$C$64,2,FALSE),"")</f>
        <v>914/A</v>
      </c>
      <c r="C51" s="66" t="s">
        <v>91</v>
      </c>
      <c r="D51" s="93">
        <f>IFERROR(VLOOKUP(C51,Dati!$A$62:$C$64,3,FALSE),"")</f>
        <v>0.3</v>
      </c>
      <c r="E51" s="93">
        <f t="shared" si="2"/>
        <v>0.27</v>
      </c>
      <c r="F51" s="89" t="s">
        <v>4</v>
      </c>
      <c r="G51" s="88">
        <v>2</v>
      </c>
      <c r="H51" s="89">
        <f t="shared" si="3"/>
        <v>0.54</v>
      </c>
    </row>
    <row r="52" spans="1:8" x14ac:dyDescent="0.25">
      <c r="A52" s="84"/>
      <c r="B52" s="9" t="str">
        <f>IFERROR(VLOOKUP(C52,Dati!$A$55:$C$56,2,FALSE),"")</f>
        <v>911/O</v>
      </c>
      <c r="C52" s="79" t="s">
        <v>242</v>
      </c>
      <c r="D52" s="93">
        <f>IFERROR(VLOOKUP(C52,Dati!$A$55:$C$56,3,FALSE),"")</f>
        <v>0.06</v>
      </c>
      <c r="E52" s="93">
        <f t="shared" si="2"/>
        <v>5.3999999999999999E-2</v>
      </c>
      <c r="F52" s="95" t="s">
        <v>4</v>
      </c>
      <c r="G52" s="94">
        <v>2</v>
      </c>
      <c r="H52" s="89">
        <f t="shared" si="3"/>
        <v>0.108</v>
      </c>
    </row>
    <row r="53" spans="1:8" ht="15.75" thickBot="1" x14ac:dyDescent="0.3">
      <c r="A53" s="84"/>
      <c r="B53" s="86"/>
      <c r="C53" s="86"/>
      <c r="D53" s="88"/>
      <c r="E53" s="88"/>
      <c r="F53" s="105" t="s">
        <v>14</v>
      </c>
      <c r="G53" s="105"/>
      <c r="H53" s="98">
        <f>SUM(H49:H52)</f>
        <v>1.4130000000000003</v>
      </c>
    </row>
    <row r="54" spans="1:8" ht="15.75" thickTop="1" x14ac:dyDescent="0.25">
      <c r="A54" s="84"/>
      <c r="B54" s="84"/>
      <c r="C54" s="84"/>
      <c r="D54" s="84"/>
      <c r="E54" s="84"/>
      <c r="F54" s="106" t="s">
        <v>28</v>
      </c>
      <c r="G54" s="106"/>
      <c r="H54" s="67">
        <v>3</v>
      </c>
    </row>
    <row r="55" spans="1:8" x14ac:dyDescent="0.25">
      <c r="A55" s="84"/>
      <c r="B55" s="84"/>
      <c r="C55" s="84"/>
      <c r="D55" s="84"/>
      <c r="E55" s="84"/>
      <c r="F55" s="106" t="s">
        <v>10</v>
      </c>
      <c r="G55" s="106"/>
      <c r="H55" s="97">
        <f>(H54-H53)/H54</f>
        <v>0.52899999999999991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F45:G45"/>
    <mergeCell ref="B6:H7"/>
    <mergeCell ref="F40:G40"/>
    <mergeCell ref="F41:G41"/>
    <mergeCell ref="F43:G43"/>
    <mergeCell ref="F44:G44"/>
    <mergeCell ref="F46:G46"/>
    <mergeCell ref="B47:C47"/>
    <mergeCell ref="F53:G53"/>
    <mergeCell ref="F54:G54"/>
    <mergeCell ref="F55:G55"/>
  </mergeCells>
  <dataValidations count="9">
    <dataValidation type="list" allowBlank="1" showInputMessage="1" showErrorMessage="1" sqref="C52">
      <formula1>Occhiello</formula1>
    </dataValidation>
    <dataValidation type="list" allowBlank="1" showInputMessage="1" showErrorMessage="1" sqref="C33">
      <formula1>TappoCassonetto</formula1>
    </dataValidation>
    <dataValidation type="list" allowBlank="1" showInputMessage="1" showErrorMessage="1" sqref="C29">
      <formula1>TappoSpiaggiale</formula1>
    </dataValidation>
    <dataValidation type="list" allowBlank="1" showInputMessage="1" showErrorMessage="1" sqref="C28">
      <formula1>FermaTerilene</formula1>
    </dataValidation>
    <dataValidation type="list" allowBlank="1" showInputMessage="1" showErrorMessage="1" sqref="C19">
      <formula1>Lamella25</formula1>
    </dataValidation>
    <dataValidation type="list" allowBlank="1" showInputMessage="1" showErrorMessage="1" sqref="C51">
      <formula1>Morsettino</formula1>
    </dataValidation>
    <dataValidation type="list" allowBlank="1" showInputMessage="1" showErrorMessage="1" sqref="C36">
      <formula1>Asta</formula1>
    </dataValidation>
    <dataValidation type="list" allowBlank="1" showInputMessage="1" showErrorMessage="1" sqref="C32">
      <formula1>SupportoSoffitto19x27</formula1>
    </dataValidation>
    <dataValidation type="list" allowBlank="1" showInputMessage="1" showErrorMessage="1" sqref="C26">
      <formula1>Rocchetto19x27</formula1>
    </dataValidation>
  </dataValidations>
  <pageMargins left="0.11811023622047245" right="0.11811023622047245" top="0.11811023622047245" bottom="0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E198"/>
  <sheetViews>
    <sheetView topLeftCell="A49" workbookViewId="0">
      <selection activeCell="C72" sqref="C72"/>
    </sheetView>
  </sheetViews>
  <sheetFormatPr defaultColWidth="8.85546875" defaultRowHeight="15" x14ac:dyDescent="0.25"/>
  <cols>
    <col min="1" max="1" width="36" customWidth="1"/>
    <col min="2" max="2" width="13" customWidth="1"/>
  </cols>
  <sheetData>
    <row r="1" spans="1:3" x14ac:dyDescent="0.25">
      <c r="A1" s="25" t="s">
        <v>22</v>
      </c>
      <c r="B1" s="27">
        <v>50</v>
      </c>
      <c r="C1" s="32">
        <v>0.25</v>
      </c>
    </row>
    <row r="2" spans="1:3" x14ac:dyDescent="0.25">
      <c r="A2" s="25" t="s">
        <v>21</v>
      </c>
      <c r="B2" s="27" t="s">
        <v>15</v>
      </c>
      <c r="C2" s="32">
        <v>0.5</v>
      </c>
    </row>
    <row r="3" spans="1:3" x14ac:dyDescent="0.25">
      <c r="A3" s="25" t="s">
        <v>62</v>
      </c>
      <c r="B3" s="27" t="s">
        <v>68</v>
      </c>
      <c r="C3" s="32">
        <v>0.71</v>
      </c>
    </row>
    <row r="4" spans="1:3" x14ac:dyDescent="0.25">
      <c r="A4" s="25" t="s">
        <v>1</v>
      </c>
      <c r="B4" s="27" t="s">
        <v>69</v>
      </c>
      <c r="C4" s="32">
        <v>0.24</v>
      </c>
    </row>
    <row r="5" spans="1:3" x14ac:dyDescent="0.25">
      <c r="A5" s="25" t="s">
        <v>129</v>
      </c>
      <c r="B5" s="27" t="s">
        <v>130</v>
      </c>
      <c r="C5" s="32">
        <v>1.8</v>
      </c>
    </row>
    <row r="6" spans="1:3" x14ac:dyDescent="0.25">
      <c r="A6" s="25" t="s">
        <v>3</v>
      </c>
      <c r="B6" s="27" t="s">
        <v>70</v>
      </c>
      <c r="C6" s="32">
        <v>0.93</v>
      </c>
    </row>
    <row r="7" spans="1:3" x14ac:dyDescent="0.25">
      <c r="A7" s="25" t="s">
        <v>63</v>
      </c>
      <c r="B7" s="27" t="s">
        <v>71</v>
      </c>
      <c r="C7" s="32">
        <v>1.1399999999999999</v>
      </c>
    </row>
    <row r="8" spans="1:3" x14ac:dyDescent="0.25">
      <c r="A8" s="25" t="s">
        <v>67</v>
      </c>
      <c r="B8" s="27" t="s">
        <v>72</v>
      </c>
      <c r="C8" s="32">
        <v>0.54</v>
      </c>
    </row>
    <row r="9" spans="1:3" x14ac:dyDescent="0.25">
      <c r="A9" s="25" t="s">
        <v>64</v>
      </c>
      <c r="B9" s="27" t="s">
        <v>73</v>
      </c>
      <c r="C9" s="32">
        <v>0.79</v>
      </c>
    </row>
    <row r="10" spans="1:3" x14ac:dyDescent="0.25">
      <c r="A10" s="25" t="s">
        <v>66</v>
      </c>
      <c r="B10" s="27" t="s">
        <v>74</v>
      </c>
      <c r="C10" s="32">
        <v>0.11</v>
      </c>
    </row>
    <row r="11" spans="1:3" x14ac:dyDescent="0.25">
      <c r="A11" s="25" t="s">
        <v>65</v>
      </c>
      <c r="B11" s="27" t="s">
        <v>75</v>
      </c>
      <c r="C11" s="32">
        <v>0.17</v>
      </c>
    </row>
    <row r="12" spans="1:3" x14ac:dyDescent="0.25">
      <c r="A12" s="25" t="s">
        <v>24</v>
      </c>
      <c r="B12" s="27" t="s">
        <v>23</v>
      </c>
      <c r="C12" s="32">
        <v>0.28999999999999998</v>
      </c>
    </row>
    <row r="13" spans="1:3" x14ac:dyDescent="0.25">
      <c r="A13" s="25" t="s">
        <v>190</v>
      </c>
      <c r="B13" s="27" t="s">
        <v>192</v>
      </c>
      <c r="C13" s="32">
        <v>0.8</v>
      </c>
    </row>
    <row r="14" spans="1:3" x14ac:dyDescent="0.25">
      <c r="A14" s="25" t="s">
        <v>191</v>
      </c>
      <c r="B14" s="27" t="s">
        <v>193</v>
      </c>
      <c r="C14" s="32">
        <v>1.1000000000000001</v>
      </c>
    </row>
    <row r="15" spans="1:3" x14ac:dyDescent="0.25">
      <c r="A15" s="25" t="s">
        <v>76</v>
      </c>
      <c r="B15" s="27">
        <v>718</v>
      </c>
      <c r="C15" s="32">
        <v>7.0000000000000007E-2</v>
      </c>
    </row>
    <row r="16" spans="1:3" x14ac:dyDescent="0.25">
      <c r="A16" s="25" t="s">
        <v>77</v>
      </c>
      <c r="B16" s="27">
        <v>738</v>
      </c>
      <c r="C16" s="32">
        <v>0.1</v>
      </c>
    </row>
    <row r="17" spans="1:4" x14ac:dyDescent="0.25">
      <c r="A17" s="25" t="s">
        <v>78</v>
      </c>
      <c r="B17" s="27">
        <v>737</v>
      </c>
      <c r="C17" s="32">
        <v>0.11</v>
      </c>
    </row>
    <row r="18" spans="1:4" x14ac:dyDescent="0.25">
      <c r="A18" s="25"/>
      <c r="B18" s="27"/>
      <c r="C18" s="32"/>
    </row>
    <row r="19" spans="1:4" x14ac:dyDescent="0.25">
      <c r="A19" s="25" t="s">
        <v>66</v>
      </c>
      <c r="B19" s="27" t="s">
        <v>83</v>
      </c>
      <c r="C19" s="32">
        <v>0.16</v>
      </c>
    </row>
    <row r="20" spans="1:4" x14ac:dyDescent="0.25">
      <c r="A20" s="25" t="s">
        <v>65</v>
      </c>
      <c r="B20" s="27" t="s">
        <v>82</v>
      </c>
      <c r="C20" s="14">
        <v>0.18</v>
      </c>
    </row>
    <row r="21" spans="1:4" x14ac:dyDescent="0.25">
      <c r="A21" s="25"/>
      <c r="B21" s="27"/>
      <c r="C21" s="14"/>
    </row>
    <row r="22" spans="1:4" x14ac:dyDescent="0.25">
      <c r="A22" s="25" t="s">
        <v>39</v>
      </c>
      <c r="B22" s="27">
        <v>25</v>
      </c>
      <c r="C22" s="60">
        <v>8.7999999999999995E-2</v>
      </c>
      <c r="D22">
        <v>1</v>
      </c>
    </row>
    <row r="23" spans="1:4" x14ac:dyDescent="0.25">
      <c r="A23" s="25" t="s">
        <v>40</v>
      </c>
      <c r="B23" s="27" t="s">
        <v>85</v>
      </c>
      <c r="C23" s="60">
        <v>0.17</v>
      </c>
      <c r="D23">
        <v>1</v>
      </c>
    </row>
    <row r="24" spans="1:4" x14ac:dyDescent="0.25">
      <c r="A24" s="25" t="s">
        <v>41</v>
      </c>
      <c r="B24" s="27">
        <v>15</v>
      </c>
      <c r="C24" s="60">
        <v>0.08</v>
      </c>
      <c r="D24">
        <v>2</v>
      </c>
    </row>
    <row r="25" spans="1:4" x14ac:dyDescent="0.25">
      <c r="A25" s="25" t="s">
        <v>42</v>
      </c>
      <c r="B25" s="27" t="s">
        <v>86</v>
      </c>
      <c r="C25" s="60">
        <v>0.16500000000000001</v>
      </c>
      <c r="D25">
        <v>2</v>
      </c>
    </row>
    <row r="26" spans="1:4" x14ac:dyDescent="0.25">
      <c r="A26" s="25" t="s">
        <v>214</v>
      </c>
      <c r="B26" s="59" t="s">
        <v>84</v>
      </c>
      <c r="C26" s="32">
        <v>1.7</v>
      </c>
    </row>
    <row r="27" spans="1:4" x14ac:dyDescent="0.25">
      <c r="A27" s="25" t="s">
        <v>215</v>
      </c>
      <c r="B27" s="27" t="s">
        <v>213</v>
      </c>
      <c r="C27" s="32">
        <v>5</v>
      </c>
    </row>
    <row r="28" spans="1:4" x14ac:dyDescent="0.25">
      <c r="A28" s="25" t="s">
        <v>87</v>
      </c>
      <c r="B28" s="35">
        <v>922</v>
      </c>
      <c r="C28" s="14">
        <v>0.21</v>
      </c>
    </row>
    <row r="29" spans="1:4" x14ac:dyDescent="0.25">
      <c r="A29" s="25" t="s">
        <v>88</v>
      </c>
      <c r="B29" s="27" t="s">
        <v>36</v>
      </c>
      <c r="C29" s="14">
        <v>0.27</v>
      </c>
    </row>
    <row r="30" spans="1:4" x14ac:dyDescent="0.25">
      <c r="A30" s="25" t="s">
        <v>227</v>
      </c>
      <c r="B30" s="27" t="s">
        <v>228</v>
      </c>
      <c r="C30" s="69">
        <v>0.19</v>
      </c>
    </row>
    <row r="31" spans="1:4" x14ac:dyDescent="0.25">
      <c r="A31" s="25" t="s">
        <v>261</v>
      </c>
      <c r="B31" s="99" t="s">
        <v>263</v>
      </c>
      <c r="C31" s="82">
        <v>0.21</v>
      </c>
    </row>
    <row r="32" spans="1:4" x14ac:dyDescent="0.25">
      <c r="A32" s="25" t="s">
        <v>262</v>
      </c>
      <c r="B32" s="27" t="s">
        <v>264</v>
      </c>
      <c r="C32" s="82">
        <v>0.27</v>
      </c>
    </row>
    <row r="33" spans="1:5" x14ac:dyDescent="0.25">
      <c r="A33" s="25"/>
      <c r="B33" s="27"/>
      <c r="C33" s="82"/>
    </row>
    <row r="34" spans="1:5" x14ac:dyDescent="0.25">
      <c r="A34" s="25" t="s">
        <v>265</v>
      </c>
      <c r="B34" s="99" t="s">
        <v>267</v>
      </c>
      <c r="C34" s="82">
        <v>0.06</v>
      </c>
    </row>
    <row r="35" spans="1:5" x14ac:dyDescent="0.25">
      <c r="A35" s="25" t="s">
        <v>266</v>
      </c>
      <c r="B35" s="27" t="s">
        <v>268</v>
      </c>
      <c r="C35" s="82">
        <v>0.09</v>
      </c>
    </row>
    <row r="36" spans="1:5" x14ac:dyDescent="0.25">
      <c r="A36" s="25"/>
      <c r="B36" s="27"/>
      <c r="C36" s="72"/>
    </row>
    <row r="37" spans="1:5" x14ac:dyDescent="0.25">
      <c r="A37" s="25" t="s">
        <v>250</v>
      </c>
      <c r="B37" s="27" t="s">
        <v>33</v>
      </c>
      <c r="C37" s="72">
        <v>0.4</v>
      </c>
    </row>
    <row r="38" spans="1:5" x14ac:dyDescent="0.25">
      <c r="A38" s="25" t="s">
        <v>269</v>
      </c>
      <c r="B38" s="27" t="s">
        <v>251</v>
      </c>
      <c r="C38" s="72">
        <v>1.1499999999999999</v>
      </c>
    </row>
    <row r="39" spans="1:5" x14ac:dyDescent="0.25">
      <c r="A39" s="25"/>
      <c r="B39" s="27"/>
      <c r="C39" s="70"/>
    </row>
    <row r="40" spans="1:5" x14ac:dyDescent="0.25">
      <c r="A40" s="76" t="s">
        <v>230</v>
      </c>
      <c r="B40" s="77">
        <v>920</v>
      </c>
      <c r="C40" s="78">
        <v>7.0000000000000007E-2</v>
      </c>
      <c r="D40" s="13"/>
      <c r="E40" s="13"/>
    </row>
    <row r="41" spans="1:5" x14ac:dyDescent="0.25">
      <c r="A41" s="76" t="s">
        <v>229</v>
      </c>
      <c r="B41" s="77">
        <v>1020</v>
      </c>
      <c r="C41" s="78">
        <v>0.09</v>
      </c>
      <c r="D41" s="13"/>
      <c r="E41" s="13"/>
    </row>
    <row r="42" spans="1:5" x14ac:dyDescent="0.25">
      <c r="A42" s="13"/>
      <c r="B42" s="78"/>
      <c r="C42" s="78"/>
      <c r="D42" s="13"/>
      <c r="E42" s="13"/>
    </row>
    <row r="43" spans="1:5" x14ac:dyDescent="0.25">
      <c r="A43" t="s">
        <v>231</v>
      </c>
      <c r="B43" s="71">
        <v>1007</v>
      </c>
      <c r="C43" s="71">
        <v>2.5000000000000001E-2</v>
      </c>
    </row>
    <row r="44" spans="1:5" x14ac:dyDescent="0.25">
      <c r="A44" t="s">
        <v>232</v>
      </c>
      <c r="B44" s="71">
        <v>907</v>
      </c>
      <c r="C44" s="71">
        <v>2.5000000000000001E-2</v>
      </c>
    </row>
    <row r="45" spans="1:5" x14ac:dyDescent="0.25">
      <c r="B45" s="71"/>
      <c r="C45" s="71"/>
    </row>
    <row r="46" spans="1:5" x14ac:dyDescent="0.25">
      <c r="A46" t="s">
        <v>235</v>
      </c>
      <c r="B46" s="71">
        <v>910</v>
      </c>
      <c r="C46" s="71">
        <v>0.03</v>
      </c>
    </row>
    <row r="47" spans="1:5" x14ac:dyDescent="0.25">
      <c r="A47" t="s">
        <v>236</v>
      </c>
      <c r="B47" s="71" t="s">
        <v>237</v>
      </c>
      <c r="C47" s="71">
        <v>0.06</v>
      </c>
    </row>
    <row r="48" spans="1:5" x14ac:dyDescent="0.25">
      <c r="B48" s="71"/>
      <c r="C48" s="71"/>
    </row>
    <row r="49" spans="1:3" x14ac:dyDescent="0.25">
      <c r="A49" t="s">
        <v>239</v>
      </c>
      <c r="B49" s="71">
        <v>911</v>
      </c>
      <c r="C49" s="71">
        <v>0.05</v>
      </c>
    </row>
    <row r="50" spans="1:3" x14ac:dyDescent="0.25">
      <c r="A50" t="s">
        <v>240</v>
      </c>
      <c r="B50" s="71" t="s">
        <v>244</v>
      </c>
      <c r="C50" s="71">
        <v>0.09</v>
      </c>
    </row>
    <row r="51" spans="1:3" x14ac:dyDescent="0.25">
      <c r="B51" s="71"/>
      <c r="C51" s="71"/>
    </row>
    <row r="52" spans="1:3" x14ac:dyDescent="0.25">
      <c r="A52" t="s">
        <v>247</v>
      </c>
      <c r="B52" s="71">
        <v>924</v>
      </c>
      <c r="C52" s="71">
        <v>0.03</v>
      </c>
    </row>
    <row r="53" spans="1:3" x14ac:dyDescent="0.25">
      <c r="A53" t="s">
        <v>241</v>
      </c>
      <c r="B53" s="71" t="s">
        <v>245</v>
      </c>
      <c r="C53" s="32">
        <v>0.1</v>
      </c>
    </row>
    <row r="54" spans="1:3" x14ac:dyDescent="0.25">
      <c r="B54" s="71"/>
      <c r="C54" s="71"/>
    </row>
    <row r="55" spans="1:3" x14ac:dyDescent="0.25">
      <c r="A55" t="s">
        <v>242</v>
      </c>
      <c r="B55" s="71" t="s">
        <v>55</v>
      </c>
      <c r="C55" s="71">
        <v>0.06</v>
      </c>
    </row>
    <row r="56" spans="1:3" x14ac:dyDescent="0.25">
      <c r="A56" t="s">
        <v>243</v>
      </c>
      <c r="B56" s="71" t="s">
        <v>246</v>
      </c>
      <c r="C56" s="71">
        <v>0.09</v>
      </c>
    </row>
    <row r="57" spans="1:3" x14ac:dyDescent="0.25">
      <c r="B57" s="28"/>
    </row>
    <row r="58" spans="1:3" x14ac:dyDescent="0.25">
      <c r="A58" s="25" t="s">
        <v>45</v>
      </c>
      <c r="B58" s="14">
        <v>940</v>
      </c>
      <c r="C58" s="14">
        <v>0.92</v>
      </c>
    </row>
    <row r="59" spans="1:3" x14ac:dyDescent="0.25">
      <c r="A59" s="25" t="s">
        <v>49</v>
      </c>
      <c r="B59" s="14" t="s">
        <v>52</v>
      </c>
      <c r="C59" s="14">
        <v>0.38</v>
      </c>
    </row>
    <row r="60" spans="1:3" x14ac:dyDescent="0.25">
      <c r="A60" s="25" t="s">
        <v>50</v>
      </c>
      <c r="B60" s="14" t="s">
        <v>51</v>
      </c>
      <c r="C60" s="14">
        <v>0.31</v>
      </c>
    </row>
    <row r="61" spans="1:3" x14ac:dyDescent="0.25">
      <c r="A61" s="25"/>
      <c r="B61" s="14"/>
      <c r="C61" s="14"/>
    </row>
    <row r="62" spans="1:3" x14ac:dyDescent="0.25">
      <c r="A62" s="25" t="s">
        <v>89</v>
      </c>
      <c r="B62" s="14">
        <v>914</v>
      </c>
      <c r="C62" s="14">
        <v>0.22</v>
      </c>
    </row>
    <row r="63" spans="1:3" x14ac:dyDescent="0.25">
      <c r="A63" s="25" t="s">
        <v>90</v>
      </c>
      <c r="B63" s="14" t="s">
        <v>53</v>
      </c>
      <c r="C63" s="14">
        <v>0.22</v>
      </c>
    </row>
    <row r="64" spans="1:3" x14ac:dyDescent="0.25">
      <c r="A64" s="25" t="s">
        <v>91</v>
      </c>
      <c r="B64" s="14" t="s">
        <v>54</v>
      </c>
      <c r="C64" s="32">
        <v>0.3</v>
      </c>
    </row>
    <row r="65" spans="1:3" x14ac:dyDescent="0.25">
      <c r="A65" s="25"/>
      <c r="B65" s="14"/>
      <c r="C65" s="14"/>
    </row>
    <row r="66" spans="1:3" x14ac:dyDescent="0.25">
      <c r="A66" s="25" t="s">
        <v>290</v>
      </c>
      <c r="B66" s="14" t="s">
        <v>284</v>
      </c>
      <c r="C66" s="32">
        <v>124</v>
      </c>
    </row>
    <row r="67" spans="1:3" x14ac:dyDescent="0.25">
      <c r="A67" s="25" t="s">
        <v>291</v>
      </c>
      <c r="B67" s="14" t="s">
        <v>285</v>
      </c>
      <c r="C67" s="32">
        <v>134</v>
      </c>
    </row>
    <row r="68" spans="1:3" x14ac:dyDescent="0.25">
      <c r="A68" s="25" t="s">
        <v>292</v>
      </c>
      <c r="B68" s="14" t="s">
        <v>286</v>
      </c>
      <c r="C68" s="32">
        <v>162</v>
      </c>
    </row>
    <row r="69" spans="1:3" x14ac:dyDescent="0.25">
      <c r="A69" s="25" t="s">
        <v>293</v>
      </c>
      <c r="B69" s="82" t="s">
        <v>287</v>
      </c>
      <c r="C69" s="32">
        <v>172</v>
      </c>
    </row>
    <row r="70" spans="1:3" x14ac:dyDescent="0.25">
      <c r="A70" s="25" t="s">
        <v>294</v>
      </c>
      <c r="B70" s="82" t="s">
        <v>288</v>
      </c>
      <c r="C70" s="32">
        <v>202</v>
      </c>
    </row>
    <row r="71" spans="1:3" x14ac:dyDescent="0.25">
      <c r="A71" s="25" t="s">
        <v>295</v>
      </c>
      <c r="B71" s="82" t="s">
        <v>289</v>
      </c>
      <c r="C71" s="32">
        <v>212</v>
      </c>
    </row>
    <row r="72" spans="1:3" x14ac:dyDescent="0.25">
      <c r="A72" s="25"/>
      <c r="B72" s="82"/>
      <c r="C72" s="32"/>
    </row>
    <row r="73" spans="1:3" x14ac:dyDescent="0.25">
      <c r="A73" s="25" t="s">
        <v>277</v>
      </c>
      <c r="B73" s="82" t="s">
        <v>272</v>
      </c>
      <c r="C73" s="32">
        <v>1</v>
      </c>
    </row>
    <row r="74" spans="1:3" x14ac:dyDescent="0.25">
      <c r="A74" s="25" t="s">
        <v>278</v>
      </c>
      <c r="B74" s="82" t="s">
        <v>273</v>
      </c>
      <c r="C74" s="32">
        <v>1.25</v>
      </c>
    </row>
    <row r="75" spans="1:3" x14ac:dyDescent="0.25">
      <c r="A75" s="25" t="s">
        <v>279</v>
      </c>
      <c r="B75" s="82" t="s">
        <v>274</v>
      </c>
      <c r="C75" s="32">
        <v>1.5</v>
      </c>
    </row>
    <row r="76" spans="1:3" x14ac:dyDescent="0.25">
      <c r="A76" s="25" t="s">
        <v>280</v>
      </c>
      <c r="B76" s="82" t="s">
        <v>275</v>
      </c>
      <c r="C76" s="32">
        <v>1.8</v>
      </c>
    </row>
    <row r="77" spans="1:3" x14ac:dyDescent="0.25">
      <c r="A77" s="25" t="s">
        <v>281</v>
      </c>
      <c r="B77" s="82" t="s">
        <v>276</v>
      </c>
      <c r="C77" s="32">
        <v>2</v>
      </c>
    </row>
    <row r="78" spans="1:3" x14ac:dyDescent="0.25">
      <c r="A78" s="25"/>
      <c r="B78" s="82"/>
      <c r="C78" s="32"/>
    </row>
    <row r="79" spans="1:3" x14ac:dyDescent="0.25">
      <c r="A79" s="25" t="s">
        <v>41</v>
      </c>
      <c r="B79" s="27">
        <v>15</v>
      </c>
      <c r="C79" s="60">
        <v>0.08</v>
      </c>
    </row>
    <row r="80" spans="1:3" x14ac:dyDescent="0.25">
      <c r="A80" s="25" t="s">
        <v>42</v>
      </c>
      <c r="B80" s="27" t="s">
        <v>86</v>
      </c>
      <c r="C80" s="60">
        <v>0.16500000000000001</v>
      </c>
    </row>
    <row r="82" spans="1:4" x14ac:dyDescent="0.25">
      <c r="A82" s="25" t="s">
        <v>96</v>
      </c>
      <c r="B82" s="14" t="s">
        <v>107</v>
      </c>
      <c r="C82" s="32">
        <v>2.8</v>
      </c>
    </row>
    <row r="83" spans="1:4" x14ac:dyDescent="0.25">
      <c r="A83" s="25" t="s">
        <v>111</v>
      </c>
      <c r="B83" s="14" t="s">
        <v>112</v>
      </c>
      <c r="C83" s="32">
        <v>3.85</v>
      </c>
    </row>
    <row r="84" spans="1:4" x14ac:dyDescent="0.25">
      <c r="A84" s="25" t="s">
        <v>97</v>
      </c>
      <c r="B84" s="14" t="s">
        <v>108</v>
      </c>
      <c r="C84" s="32">
        <v>6</v>
      </c>
    </row>
    <row r="85" spans="1:4" x14ac:dyDescent="0.25">
      <c r="A85" s="25" t="s">
        <v>98</v>
      </c>
      <c r="B85" s="14" t="s">
        <v>109</v>
      </c>
      <c r="C85" s="32">
        <v>4.3</v>
      </c>
    </row>
    <row r="86" spans="1:4" x14ac:dyDescent="0.25">
      <c r="A86" s="25" t="s">
        <v>113</v>
      </c>
      <c r="B86" s="14" t="s">
        <v>114</v>
      </c>
      <c r="C86" s="32">
        <v>4.3</v>
      </c>
    </row>
    <row r="87" spans="1:4" x14ac:dyDescent="0.25">
      <c r="A87" s="25" t="s">
        <v>99</v>
      </c>
      <c r="B87" s="14" t="s">
        <v>110</v>
      </c>
      <c r="C87" s="32">
        <v>4.7</v>
      </c>
    </row>
    <row r="88" spans="1:4" x14ac:dyDescent="0.25">
      <c r="A88" s="25" t="s">
        <v>165</v>
      </c>
      <c r="B88" s="41" t="s">
        <v>168</v>
      </c>
      <c r="C88" s="32">
        <v>0.56999999999999995</v>
      </c>
    </row>
    <row r="89" spans="1:4" x14ac:dyDescent="0.25">
      <c r="A89" s="25" t="s">
        <v>166</v>
      </c>
      <c r="B89" s="41" t="s">
        <v>169</v>
      </c>
      <c r="C89" s="32">
        <v>0.6</v>
      </c>
    </row>
    <row r="90" spans="1:4" x14ac:dyDescent="0.25">
      <c r="A90" s="25" t="s">
        <v>167</v>
      </c>
      <c r="B90" s="41" t="s">
        <v>170</v>
      </c>
      <c r="C90" s="32">
        <v>0.64</v>
      </c>
    </row>
    <row r="91" spans="1:4" x14ac:dyDescent="0.25">
      <c r="A91" s="25" t="s">
        <v>100</v>
      </c>
      <c r="B91" s="14">
        <v>400</v>
      </c>
      <c r="C91" s="32">
        <v>2.2999999999999998</v>
      </c>
      <c r="D91">
        <v>1</v>
      </c>
    </row>
    <row r="92" spans="1:4" x14ac:dyDescent="0.25">
      <c r="A92" s="25" t="s">
        <v>101</v>
      </c>
      <c r="B92" s="14">
        <v>430</v>
      </c>
      <c r="C92" s="32">
        <v>3.75</v>
      </c>
      <c r="D92">
        <v>1</v>
      </c>
    </row>
    <row r="93" spans="1:4" x14ac:dyDescent="0.25">
      <c r="A93" s="25" t="s">
        <v>102</v>
      </c>
      <c r="B93" s="14">
        <v>450</v>
      </c>
      <c r="C93" s="32">
        <v>6.7</v>
      </c>
      <c r="D93">
        <v>1</v>
      </c>
    </row>
    <row r="94" spans="1:4" x14ac:dyDescent="0.25">
      <c r="A94" s="25" t="s">
        <v>95</v>
      </c>
      <c r="B94" s="14">
        <v>500</v>
      </c>
      <c r="C94" s="32">
        <v>7.2</v>
      </c>
      <c r="D94">
        <v>1</v>
      </c>
    </row>
    <row r="95" spans="1:4" x14ac:dyDescent="0.25">
      <c r="A95" s="25" t="s">
        <v>103</v>
      </c>
      <c r="B95" s="14">
        <v>520</v>
      </c>
      <c r="C95" s="32">
        <v>11.35</v>
      </c>
      <c r="D95">
        <v>1</v>
      </c>
    </row>
    <row r="96" spans="1:4" x14ac:dyDescent="0.25">
      <c r="A96" s="25" t="s">
        <v>106</v>
      </c>
      <c r="B96" s="14">
        <v>600</v>
      </c>
      <c r="C96" s="32">
        <v>7.5</v>
      </c>
      <c r="D96">
        <v>1</v>
      </c>
    </row>
    <row r="97" spans="1:4" x14ac:dyDescent="0.25">
      <c r="A97" s="25" t="s">
        <v>121</v>
      </c>
      <c r="B97" s="51">
        <v>201</v>
      </c>
      <c r="C97" s="32">
        <v>4.2</v>
      </c>
      <c r="D97">
        <v>1</v>
      </c>
    </row>
    <row r="98" spans="1:4" x14ac:dyDescent="0.25">
      <c r="A98" s="25" t="s">
        <v>122</v>
      </c>
      <c r="B98" s="51">
        <v>301</v>
      </c>
      <c r="C98" s="32">
        <v>7.3</v>
      </c>
      <c r="D98">
        <v>1</v>
      </c>
    </row>
    <row r="99" spans="1:4" x14ac:dyDescent="0.25">
      <c r="A99" s="25" t="s">
        <v>104</v>
      </c>
      <c r="B99" s="14">
        <v>711</v>
      </c>
      <c r="C99" s="32">
        <v>8.3000000000000007</v>
      </c>
      <c r="D99">
        <v>2</v>
      </c>
    </row>
    <row r="100" spans="1:4" x14ac:dyDescent="0.25">
      <c r="A100" s="25" t="s">
        <v>183</v>
      </c>
      <c r="B100" s="14">
        <v>700</v>
      </c>
      <c r="C100" s="32">
        <v>9.8000000000000007</v>
      </c>
      <c r="D100">
        <v>2</v>
      </c>
    </row>
    <row r="101" spans="1:4" x14ac:dyDescent="0.25">
      <c r="A101" s="25" t="s">
        <v>105</v>
      </c>
      <c r="B101" s="14">
        <v>800</v>
      </c>
      <c r="C101" s="32">
        <v>16</v>
      </c>
      <c r="D101">
        <v>3</v>
      </c>
    </row>
    <row r="102" spans="1:4" x14ac:dyDescent="0.25">
      <c r="A102" s="25"/>
    </row>
    <row r="103" spans="1:4" x14ac:dyDescent="0.25">
      <c r="A103" s="42" t="s">
        <v>93</v>
      </c>
      <c r="B103" s="43" t="s">
        <v>162</v>
      </c>
      <c r="C103" s="48">
        <v>3.1</v>
      </c>
      <c r="D103">
        <v>1</v>
      </c>
    </row>
    <row r="104" spans="1:4" x14ac:dyDescent="0.25">
      <c r="A104" s="42" t="s">
        <v>172</v>
      </c>
      <c r="B104" s="43" t="s">
        <v>163</v>
      </c>
      <c r="C104" s="48">
        <v>0.09</v>
      </c>
      <c r="D104">
        <v>1</v>
      </c>
    </row>
    <row r="105" spans="1:4" x14ac:dyDescent="0.25">
      <c r="A105" s="42" t="s">
        <v>94</v>
      </c>
      <c r="B105" s="43" t="s">
        <v>173</v>
      </c>
      <c r="C105" s="48">
        <v>0.65</v>
      </c>
      <c r="D105">
        <v>1</v>
      </c>
    </row>
    <row r="106" spans="1:4" x14ac:dyDescent="0.25">
      <c r="A106" s="44" t="s">
        <v>171</v>
      </c>
      <c r="B106" s="45" t="s">
        <v>175</v>
      </c>
      <c r="C106" s="49">
        <v>4.4000000000000004</v>
      </c>
      <c r="D106">
        <v>2</v>
      </c>
    </row>
    <row r="107" spans="1:4" x14ac:dyDescent="0.25">
      <c r="A107" s="44" t="s">
        <v>176</v>
      </c>
      <c r="B107" s="45" t="s">
        <v>174</v>
      </c>
      <c r="C107" s="49">
        <v>0.35</v>
      </c>
      <c r="D107">
        <v>2</v>
      </c>
    </row>
    <row r="108" spans="1:4" x14ac:dyDescent="0.25">
      <c r="A108" s="44" t="s">
        <v>94</v>
      </c>
      <c r="B108" s="45" t="s">
        <v>164</v>
      </c>
      <c r="C108" s="49">
        <v>0.55000000000000004</v>
      </c>
      <c r="D108">
        <v>2</v>
      </c>
    </row>
    <row r="109" spans="1:4" x14ac:dyDescent="0.25">
      <c r="A109" s="46" t="s">
        <v>179</v>
      </c>
      <c r="B109" s="47" t="s">
        <v>180</v>
      </c>
      <c r="C109" s="50">
        <v>4.4000000000000004</v>
      </c>
      <c r="D109">
        <v>3</v>
      </c>
    </row>
    <row r="110" spans="1:4" x14ac:dyDescent="0.25">
      <c r="A110" s="46" t="s">
        <v>178</v>
      </c>
      <c r="B110" s="47" t="s">
        <v>181</v>
      </c>
      <c r="C110" s="50">
        <v>0.09</v>
      </c>
      <c r="D110">
        <v>3</v>
      </c>
    </row>
    <row r="111" spans="1:4" x14ac:dyDescent="0.25">
      <c r="A111" s="46" t="s">
        <v>177</v>
      </c>
      <c r="B111" s="47" t="s">
        <v>182</v>
      </c>
      <c r="C111" s="50">
        <v>0.9</v>
      </c>
      <c r="D111">
        <v>3</v>
      </c>
    </row>
    <row r="112" spans="1:4" x14ac:dyDescent="0.25">
      <c r="A112" s="46" t="s">
        <v>184</v>
      </c>
      <c r="B112" s="47" t="s">
        <v>185</v>
      </c>
      <c r="C112" s="50">
        <v>10.7</v>
      </c>
      <c r="D112">
        <v>3</v>
      </c>
    </row>
    <row r="113" spans="1:3" x14ac:dyDescent="0.25">
      <c r="A113" s="25"/>
      <c r="B113" s="40"/>
      <c r="C113" s="40"/>
    </row>
    <row r="114" spans="1:3" x14ac:dyDescent="0.25">
      <c r="A114" s="25" t="s">
        <v>134</v>
      </c>
      <c r="B114" s="40" t="s">
        <v>161</v>
      </c>
      <c r="C114" s="32">
        <v>2.7</v>
      </c>
    </row>
    <row r="115" spans="1:3" x14ac:dyDescent="0.25">
      <c r="A115" s="25" t="s">
        <v>135</v>
      </c>
      <c r="B115" s="40" t="s">
        <v>217</v>
      </c>
      <c r="C115" s="32">
        <v>2.9</v>
      </c>
    </row>
    <row r="116" spans="1:3" x14ac:dyDescent="0.25">
      <c r="A116" s="25" t="s">
        <v>131</v>
      </c>
      <c r="B116" s="27">
        <v>1</v>
      </c>
      <c r="C116" s="32">
        <v>3.5</v>
      </c>
    </row>
    <row r="117" spans="1:3" x14ac:dyDescent="0.25">
      <c r="A117" s="25" t="s">
        <v>148</v>
      </c>
      <c r="B117" s="27">
        <v>5</v>
      </c>
      <c r="C117" s="32">
        <v>0.65</v>
      </c>
    </row>
    <row r="118" spans="1:3" x14ac:dyDescent="0.25">
      <c r="A118" s="25" t="s">
        <v>136</v>
      </c>
      <c r="B118" s="40" t="s">
        <v>149</v>
      </c>
      <c r="C118" s="32">
        <v>0.75</v>
      </c>
    </row>
    <row r="119" spans="1:3" x14ac:dyDescent="0.25">
      <c r="A119" s="25" t="s">
        <v>132</v>
      </c>
      <c r="B119" s="40" t="s">
        <v>150</v>
      </c>
      <c r="C119" s="32">
        <v>0.75</v>
      </c>
    </row>
    <row r="120" spans="1:3" x14ac:dyDescent="0.25">
      <c r="A120" s="25" t="s">
        <v>133</v>
      </c>
      <c r="B120" s="27">
        <v>15</v>
      </c>
      <c r="C120" s="32">
        <v>0.75</v>
      </c>
    </row>
    <row r="121" spans="1:3" x14ac:dyDescent="0.25">
      <c r="A121" s="25" t="s">
        <v>137</v>
      </c>
      <c r="B121" s="40" t="s">
        <v>61</v>
      </c>
      <c r="C121" s="32">
        <v>0.21</v>
      </c>
    </row>
    <row r="122" spans="1:3" x14ac:dyDescent="0.25">
      <c r="A122" s="25" t="s">
        <v>138</v>
      </c>
      <c r="B122" s="40" t="s">
        <v>151</v>
      </c>
      <c r="C122" s="32">
        <v>0.16</v>
      </c>
    </row>
    <row r="123" spans="1:3" x14ac:dyDescent="0.25">
      <c r="A123" s="25" t="s">
        <v>142</v>
      </c>
      <c r="B123" s="40" t="s">
        <v>152</v>
      </c>
      <c r="C123" s="32">
        <v>0.11</v>
      </c>
    </row>
    <row r="124" spans="1:3" x14ac:dyDescent="0.25">
      <c r="A124" s="25" t="s">
        <v>143</v>
      </c>
      <c r="B124" s="40" t="s">
        <v>153</v>
      </c>
      <c r="C124" s="32">
        <v>0.11</v>
      </c>
    </row>
    <row r="125" spans="1:3" x14ac:dyDescent="0.25">
      <c r="A125" s="25" t="s">
        <v>140</v>
      </c>
      <c r="B125" s="40" t="s">
        <v>154</v>
      </c>
      <c r="C125" s="32">
        <v>2.4E-2</v>
      </c>
    </row>
    <row r="126" spans="1:3" x14ac:dyDescent="0.25">
      <c r="A126" s="25" t="s">
        <v>141</v>
      </c>
      <c r="B126" s="40" t="s">
        <v>155</v>
      </c>
      <c r="C126" s="32">
        <v>2.4E-2</v>
      </c>
    </row>
    <row r="127" spans="1:3" x14ac:dyDescent="0.25">
      <c r="A127" s="25" t="s">
        <v>144</v>
      </c>
      <c r="B127" s="40" t="s">
        <v>156</v>
      </c>
      <c r="C127" s="32">
        <v>3.2000000000000001E-2</v>
      </c>
    </row>
    <row r="128" spans="1:3" x14ac:dyDescent="0.25">
      <c r="A128" s="25" t="s">
        <v>145</v>
      </c>
      <c r="B128" s="40" t="s">
        <v>157</v>
      </c>
      <c r="C128" s="32">
        <v>3.2000000000000001E-2</v>
      </c>
    </row>
    <row r="129" spans="1:3" x14ac:dyDescent="0.25">
      <c r="A129" s="25" t="s">
        <v>146</v>
      </c>
      <c r="B129" s="40" t="s">
        <v>158</v>
      </c>
      <c r="C129" s="32">
        <v>0.2</v>
      </c>
    </row>
    <row r="130" spans="1:3" x14ac:dyDescent="0.25">
      <c r="A130" s="25" t="s">
        <v>147</v>
      </c>
      <c r="B130" s="40" t="s">
        <v>159</v>
      </c>
      <c r="C130" s="32">
        <v>0.2</v>
      </c>
    </row>
    <row r="131" spans="1:3" x14ac:dyDescent="0.25">
      <c r="A131" s="25" t="s">
        <v>139</v>
      </c>
      <c r="B131" s="57" t="s">
        <v>198</v>
      </c>
      <c r="C131" s="32">
        <v>0.1</v>
      </c>
    </row>
    <row r="132" spans="1:3" x14ac:dyDescent="0.25">
      <c r="A132" s="25" t="s">
        <v>160</v>
      </c>
      <c r="B132" s="40" t="s">
        <v>202</v>
      </c>
      <c r="C132" s="32">
        <v>0.14000000000000001</v>
      </c>
    </row>
    <row r="133" spans="1:3" x14ac:dyDescent="0.25">
      <c r="A133" s="25"/>
      <c r="B133" s="63"/>
      <c r="C133" s="32"/>
    </row>
    <row r="134" spans="1:3" x14ac:dyDescent="0.25">
      <c r="A134" s="25" t="s">
        <v>219</v>
      </c>
      <c r="B134" s="27" t="s">
        <v>222</v>
      </c>
      <c r="C134" s="32">
        <v>0.87</v>
      </c>
    </row>
    <row r="135" spans="1:3" x14ac:dyDescent="0.25">
      <c r="A135" s="25" t="s">
        <v>218</v>
      </c>
      <c r="B135" s="27">
        <v>135</v>
      </c>
      <c r="C135" s="32">
        <v>0.5</v>
      </c>
    </row>
    <row r="136" spans="1:3" x14ac:dyDescent="0.25">
      <c r="A136" s="25" t="s">
        <v>220</v>
      </c>
      <c r="B136" s="27">
        <v>130</v>
      </c>
      <c r="C136" s="32">
        <v>0.63</v>
      </c>
    </row>
    <row r="137" spans="1:3" x14ac:dyDescent="0.25">
      <c r="A137" s="25" t="s">
        <v>221</v>
      </c>
      <c r="B137" s="27">
        <v>150</v>
      </c>
      <c r="C137" s="32">
        <v>1.1499999999999999</v>
      </c>
    </row>
    <row r="138" spans="1:3" x14ac:dyDescent="0.25">
      <c r="A138" s="25" t="s">
        <v>224</v>
      </c>
      <c r="B138" s="27">
        <v>175</v>
      </c>
      <c r="C138" s="32">
        <v>2.6</v>
      </c>
    </row>
    <row r="139" spans="1:3" x14ac:dyDescent="0.25">
      <c r="A139" s="25" t="s">
        <v>223</v>
      </c>
      <c r="B139" s="27">
        <v>180</v>
      </c>
      <c r="C139" s="32">
        <v>3.2</v>
      </c>
    </row>
    <row r="140" spans="1:3" x14ac:dyDescent="0.25">
      <c r="A140" s="25" t="s">
        <v>225</v>
      </c>
      <c r="B140" s="63">
        <v>190</v>
      </c>
      <c r="C140" s="32">
        <v>3.2</v>
      </c>
    </row>
    <row r="141" spans="1:3" x14ac:dyDescent="0.25">
      <c r="A141" s="25"/>
      <c r="B141" s="63"/>
      <c r="C141" s="32"/>
    </row>
    <row r="142" spans="1:3" x14ac:dyDescent="0.25">
      <c r="A142" s="25"/>
      <c r="B142" s="62"/>
      <c r="C142" s="32"/>
    </row>
    <row r="143" spans="1:3" x14ac:dyDescent="0.25">
      <c r="A143" s="25" t="s">
        <v>203</v>
      </c>
      <c r="B143" s="58" t="s">
        <v>209</v>
      </c>
      <c r="C143" s="32">
        <v>76</v>
      </c>
    </row>
    <row r="144" spans="1:3" x14ac:dyDescent="0.25">
      <c r="A144" s="25" t="s">
        <v>204</v>
      </c>
      <c r="B144" s="58" t="s">
        <v>210</v>
      </c>
      <c r="C144" s="32">
        <v>130.30000000000001</v>
      </c>
    </row>
    <row r="145" spans="1:3" x14ac:dyDescent="0.25">
      <c r="A145" s="25" t="s">
        <v>205</v>
      </c>
      <c r="B145" s="58" t="s">
        <v>211</v>
      </c>
      <c r="C145" s="32">
        <v>173.7</v>
      </c>
    </row>
    <row r="146" spans="1:3" x14ac:dyDescent="0.25">
      <c r="A146" s="25" t="s">
        <v>199</v>
      </c>
      <c r="B146" s="58" t="s">
        <v>206</v>
      </c>
      <c r="C146" s="32">
        <v>20.350000000000001</v>
      </c>
    </row>
    <row r="147" spans="1:3" x14ac:dyDescent="0.25">
      <c r="A147" s="25" t="s">
        <v>200</v>
      </c>
      <c r="B147" s="58" t="s">
        <v>207</v>
      </c>
      <c r="C147" s="32">
        <v>23.1</v>
      </c>
    </row>
    <row r="148" spans="1:3" x14ac:dyDescent="0.25">
      <c r="A148" s="25" t="s">
        <v>201</v>
      </c>
      <c r="B148" s="58" t="s">
        <v>208</v>
      </c>
      <c r="C148" s="58">
        <v>36.65</v>
      </c>
    </row>
    <row r="149" spans="1:3" x14ac:dyDescent="0.25">
      <c r="A149" s="25"/>
    </row>
    <row r="150" spans="1:3" x14ac:dyDescent="0.25">
      <c r="A150" s="25"/>
    </row>
    <row r="151" spans="1:3" x14ac:dyDescent="0.25">
      <c r="A151" s="121" t="s">
        <v>117</v>
      </c>
      <c r="B151" s="121"/>
    </row>
    <row r="152" spans="1:3" x14ac:dyDescent="0.25">
      <c r="A152" s="14" t="s">
        <v>115</v>
      </c>
      <c r="B152" s="14" t="s">
        <v>116</v>
      </c>
    </row>
    <row r="153" spans="1:3" x14ac:dyDescent="0.25">
      <c r="A153" s="14">
        <v>0.86</v>
      </c>
      <c r="B153" s="14">
        <v>2</v>
      </c>
    </row>
    <row r="154" spans="1:3" x14ac:dyDescent="0.25">
      <c r="A154" s="14">
        <v>1.44</v>
      </c>
      <c r="B154" s="14">
        <v>3</v>
      </c>
    </row>
    <row r="155" spans="1:3" x14ac:dyDescent="0.25">
      <c r="A155" s="14">
        <v>2.1</v>
      </c>
      <c r="B155" s="14">
        <v>4</v>
      </c>
    </row>
    <row r="156" spans="1:3" x14ac:dyDescent="0.25">
      <c r="A156" s="14">
        <v>2.2999999999999998</v>
      </c>
      <c r="B156" s="14">
        <v>5</v>
      </c>
    </row>
    <row r="157" spans="1:3" x14ac:dyDescent="0.25">
      <c r="A157" s="14">
        <v>2.6</v>
      </c>
      <c r="B157" s="14">
        <v>6</v>
      </c>
    </row>
    <row r="158" spans="1:3" x14ac:dyDescent="0.25">
      <c r="A158" s="14" t="s">
        <v>118</v>
      </c>
      <c r="B158" s="14">
        <v>7</v>
      </c>
    </row>
    <row r="161" spans="1:2" x14ac:dyDescent="0.25">
      <c r="A161" s="121" t="s">
        <v>119</v>
      </c>
      <c r="B161" s="121"/>
    </row>
    <row r="162" spans="1:2" x14ac:dyDescent="0.25">
      <c r="A162" s="14" t="s">
        <v>115</v>
      </c>
      <c r="B162" s="14" t="s">
        <v>116</v>
      </c>
    </row>
    <row r="163" spans="1:2" x14ac:dyDescent="0.25">
      <c r="A163" s="14">
        <v>0.65</v>
      </c>
      <c r="B163" s="14">
        <v>2</v>
      </c>
    </row>
    <row r="164" spans="1:2" x14ac:dyDescent="0.25">
      <c r="A164" s="14">
        <v>1.0900000000000001</v>
      </c>
      <c r="B164" s="14">
        <v>3</v>
      </c>
    </row>
    <row r="165" spans="1:2" x14ac:dyDescent="0.25">
      <c r="A165" s="14">
        <v>1.5</v>
      </c>
      <c r="B165" s="14">
        <v>4</v>
      </c>
    </row>
    <row r="166" spans="1:2" x14ac:dyDescent="0.25">
      <c r="A166" s="14">
        <v>1.9</v>
      </c>
      <c r="B166" s="14">
        <v>5</v>
      </c>
    </row>
    <row r="167" spans="1:2" x14ac:dyDescent="0.25">
      <c r="A167" s="14">
        <v>2.2000000000000002</v>
      </c>
      <c r="B167" s="14">
        <v>6</v>
      </c>
    </row>
    <row r="168" spans="1:2" x14ac:dyDescent="0.25">
      <c r="A168" s="14" t="s">
        <v>120</v>
      </c>
      <c r="B168" s="14">
        <v>7</v>
      </c>
    </row>
    <row r="170" spans="1:2" x14ac:dyDescent="0.25">
      <c r="A170" s="61" t="s">
        <v>212</v>
      </c>
    </row>
    <row r="171" spans="1:2" x14ac:dyDescent="0.25">
      <c r="A171" s="61" t="s">
        <v>216</v>
      </c>
    </row>
    <row r="172" spans="1:2" x14ac:dyDescent="0.25">
      <c r="A172" s="61">
        <v>59</v>
      </c>
      <c r="B172" s="61">
        <v>5</v>
      </c>
    </row>
    <row r="173" spans="1:2" x14ac:dyDescent="0.25">
      <c r="A173" s="61">
        <v>70</v>
      </c>
      <c r="B173" s="61">
        <v>6</v>
      </c>
    </row>
    <row r="174" spans="1:2" x14ac:dyDescent="0.25">
      <c r="A174" s="61">
        <v>81</v>
      </c>
      <c r="B174" s="61">
        <v>7</v>
      </c>
    </row>
    <row r="175" spans="1:2" x14ac:dyDescent="0.25">
      <c r="A175" s="61">
        <v>93</v>
      </c>
      <c r="B175" s="61">
        <v>8</v>
      </c>
    </row>
    <row r="176" spans="1:2" x14ac:dyDescent="0.25">
      <c r="A176" s="61">
        <v>104</v>
      </c>
      <c r="B176" s="61">
        <v>9</v>
      </c>
    </row>
    <row r="177" spans="1:2" x14ac:dyDescent="0.25">
      <c r="A177" s="61">
        <v>115</v>
      </c>
      <c r="B177" s="61">
        <v>10</v>
      </c>
    </row>
    <row r="178" spans="1:2" x14ac:dyDescent="0.25">
      <c r="A178" s="61">
        <v>127</v>
      </c>
      <c r="B178" s="61">
        <v>11</v>
      </c>
    </row>
    <row r="179" spans="1:2" x14ac:dyDescent="0.25">
      <c r="A179" s="61">
        <v>138</v>
      </c>
      <c r="B179" s="61">
        <v>12</v>
      </c>
    </row>
    <row r="180" spans="1:2" x14ac:dyDescent="0.25">
      <c r="A180" s="61">
        <v>149</v>
      </c>
      <c r="B180" s="61">
        <v>13</v>
      </c>
    </row>
    <row r="181" spans="1:2" x14ac:dyDescent="0.25">
      <c r="A181" s="61">
        <v>160</v>
      </c>
      <c r="B181" s="61">
        <v>14</v>
      </c>
    </row>
    <row r="182" spans="1:2" x14ac:dyDescent="0.25">
      <c r="A182" s="61">
        <v>172</v>
      </c>
      <c r="B182" s="61">
        <v>15</v>
      </c>
    </row>
    <row r="183" spans="1:2" x14ac:dyDescent="0.25">
      <c r="A183" s="61">
        <v>183</v>
      </c>
      <c r="B183" s="61">
        <v>16</v>
      </c>
    </row>
    <row r="184" spans="1:2" x14ac:dyDescent="0.25">
      <c r="A184" s="61">
        <v>194</v>
      </c>
      <c r="B184" s="61">
        <v>17</v>
      </c>
    </row>
    <row r="185" spans="1:2" x14ac:dyDescent="0.25">
      <c r="A185" s="61">
        <v>206</v>
      </c>
      <c r="B185" s="61">
        <v>18</v>
      </c>
    </row>
    <row r="186" spans="1:2" x14ac:dyDescent="0.25">
      <c r="A186" s="61">
        <v>217</v>
      </c>
      <c r="B186" s="61">
        <v>19</v>
      </c>
    </row>
    <row r="187" spans="1:2" x14ac:dyDescent="0.25">
      <c r="A187" s="61">
        <v>228</v>
      </c>
      <c r="B187" s="61">
        <v>20</v>
      </c>
    </row>
    <row r="188" spans="1:2" x14ac:dyDescent="0.25">
      <c r="A188" s="61">
        <v>239</v>
      </c>
      <c r="B188" s="61">
        <v>21</v>
      </c>
    </row>
    <row r="189" spans="1:2" x14ac:dyDescent="0.25">
      <c r="A189" s="61">
        <v>251</v>
      </c>
      <c r="B189" s="61">
        <v>22</v>
      </c>
    </row>
    <row r="190" spans="1:2" x14ac:dyDescent="0.25">
      <c r="A190" s="61">
        <v>262</v>
      </c>
      <c r="B190" s="61">
        <v>23</v>
      </c>
    </row>
    <row r="191" spans="1:2" x14ac:dyDescent="0.25">
      <c r="A191" s="61">
        <v>273</v>
      </c>
      <c r="B191" s="61">
        <v>24</v>
      </c>
    </row>
    <row r="192" spans="1:2" x14ac:dyDescent="0.25">
      <c r="A192" s="61">
        <v>284</v>
      </c>
      <c r="B192" s="61">
        <v>25</v>
      </c>
    </row>
    <row r="193" spans="1:2" x14ac:dyDescent="0.25">
      <c r="A193" s="61">
        <v>296</v>
      </c>
      <c r="B193" s="61">
        <v>26</v>
      </c>
    </row>
    <row r="194" spans="1:2" x14ac:dyDescent="0.25">
      <c r="A194" s="61">
        <v>307</v>
      </c>
      <c r="B194" s="61">
        <v>27</v>
      </c>
    </row>
    <row r="195" spans="1:2" x14ac:dyDescent="0.25">
      <c r="A195" s="61">
        <v>318</v>
      </c>
      <c r="B195" s="61">
        <v>28</v>
      </c>
    </row>
    <row r="196" spans="1:2" x14ac:dyDescent="0.25">
      <c r="A196" s="61">
        <v>330</v>
      </c>
      <c r="B196" s="61">
        <v>29</v>
      </c>
    </row>
    <row r="197" spans="1:2" x14ac:dyDescent="0.25">
      <c r="A197" s="61">
        <v>341</v>
      </c>
      <c r="B197" s="61">
        <v>30</v>
      </c>
    </row>
    <row r="198" spans="1:2" x14ac:dyDescent="0.25">
      <c r="A198" s="61">
        <v>352</v>
      </c>
      <c r="B198" s="61">
        <v>31</v>
      </c>
    </row>
  </sheetData>
  <mergeCells count="2">
    <mergeCell ref="A151:B151"/>
    <mergeCell ref="A161:B1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41</vt:i4>
      </vt:variant>
    </vt:vector>
  </HeadingPairs>
  <TitlesOfParts>
    <vt:vector size="49" baseType="lpstr">
      <vt:lpstr>15-25 mm Standard</vt:lpstr>
      <vt:lpstr>15-25 mm Slider</vt:lpstr>
      <vt:lpstr>15-25 mm Magic</vt:lpstr>
      <vt:lpstr>15-25 mm Catena</vt:lpstr>
      <vt:lpstr>15-25 mm Motorizzate</vt:lpstr>
      <vt:lpstr>15 mm -MINI</vt:lpstr>
      <vt:lpstr>15-25 mm Serie 19x27</vt:lpstr>
      <vt:lpstr>Dati</vt:lpstr>
      <vt:lpstr>Alberino</vt:lpstr>
      <vt:lpstr>'15-25 mm Magic'!Area_stampa</vt:lpstr>
      <vt:lpstr>'15-25 mm Serie 19x27'!Area_stampa</vt:lpstr>
      <vt:lpstr>'15-25 mm Slider'!Area_stampa</vt:lpstr>
      <vt:lpstr>'15-25 mm Standard'!Area_stampa</vt:lpstr>
      <vt:lpstr>Asta</vt:lpstr>
      <vt:lpstr>Barretta</vt:lpstr>
      <vt:lpstr>Carter</vt:lpstr>
      <vt:lpstr>Cassonetto</vt:lpstr>
      <vt:lpstr>Cassonettoverticali</vt:lpstr>
      <vt:lpstr>Catena</vt:lpstr>
      <vt:lpstr>Catenadistanziatrice</vt:lpstr>
      <vt:lpstr>Catenaorientamento</vt:lpstr>
      <vt:lpstr>Comando</vt:lpstr>
      <vt:lpstr>Comandoverticali</vt:lpstr>
      <vt:lpstr>Fermacorda</vt:lpstr>
      <vt:lpstr>Fermanastro</vt:lpstr>
      <vt:lpstr>Fermanastro35</vt:lpstr>
      <vt:lpstr>FermaTerilene</vt:lpstr>
      <vt:lpstr>Lamella</vt:lpstr>
      <vt:lpstr>Lamella15</vt:lpstr>
      <vt:lpstr>Lamella25</vt:lpstr>
      <vt:lpstr>Morsettino</vt:lpstr>
      <vt:lpstr>Motore</vt:lpstr>
      <vt:lpstr>MotoreVen</vt:lpstr>
      <vt:lpstr>Nylon</vt:lpstr>
      <vt:lpstr>Occhiello</vt:lpstr>
      <vt:lpstr>Orientatore</vt:lpstr>
      <vt:lpstr>Rocchetto19x27</vt:lpstr>
      <vt:lpstr>Scaletta</vt:lpstr>
      <vt:lpstr>Supporto</vt:lpstr>
      <vt:lpstr>Supporto_Soffitto</vt:lpstr>
      <vt:lpstr>Supporto25</vt:lpstr>
      <vt:lpstr>SupportoSoffitto19x27</vt:lpstr>
      <vt:lpstr>TappoCassonetto</vt:lpstr>
      <vt:lpstr>TappoSpiaggiale</vt:lpstr>
      <vt:lpstr>Telecomando</vt:lpstr>
      <vt:lpstr>Tessuti</vt:lpstr>
      <vt:lpstr>Tessutiverticali</vt:lpstr>
      <vt:lpstr>Vagonetto</vt:lpstr>
      <vt:lpstr>Zavorra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Federico Bragaglia</cp:lastModifiedBy>
  <cp:lastPrinted>2017-07-12T15:58:18Z</cp:lastPrinted>
  <dcterms:created xsi:type="dcterms:W3CDTF">2015-11-07T15:48:26Z</dcterms:created>
  <dcterms:modified xsi:type="dcterms:W3CDTF">2017-07-21T09:06:54Z</dcterms:modified>
</cp:coreProperties>
</file>